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5010" activeTab="1"/>
  </bookViews>
  <sheets>
    <sheet name="Frontespizio+indice" sheetId="1" r:id="rId1"/>
    <sheet name="Riepilogo valore patrimonio" sheetId="2" r:id="rId2"/>
  </sheets>
  <definedNames>
    <definedName name="_xlnm.Print_Area" localSheetId="0">'Frontespizio+indice'!$A$1:$J$905</definedName>
    <definedName name="_xlnm.Print_Area" localSheetId="1">'Riepilogo valore patrimonio'!$A$1:$K$123</definedName>
  </definedNames>
  <calcPr fullCalcOnLoad="1"/>
</workbook>
</file>

<file path=xl/sharedStrings.xml><?xml version="1.0" encoding="utf-8"?>
<sst xmlns="http://schemas.openxmlformats.org/spreadsheetml/2006/main" count="1691" uniqueCount="643">
  <si>
    <r>
      <t>NOTE:</t>
    </r>
    <r>
      <rPr>
        <sz val="12"/>
        <rFont val="Arial"/>
        <family val="2"/>
      </rPr>
      <t xml:space="preserve"> EX DISPENSARIO</t>
    </r>
  </si>
  <si>
    <r>
      <t xml:space="preserve">UBICAZIONE: </t>
    </r>
    <r>
      <rPr>
        <sz val="12"/>
        <rFont val="Arial"/>
        <family val="2"/>
      </rPr>
      <t>COMUNE DI ATRI - VIA A. FINOCCHI</t>
    </r>
  </si>
  <si>
    <t>874 mc</t>
  </si>
  <si>
    <t>1223 mc</t>
  </si>
  <si>
    <t>mc 5100</t>
  </si>
  <si>
    <r>
      <t>INTESTAZIONE - TITOLO: U</t>
    </r>
    <r>
      <rPr>
        <sz val="12"/>
        <rFont val="Arial"/>
        <family val="2"/>
      </rPr>
      <t xml:space="preserve">NITA' LOCALE SOCIO SANITARIA  DI TERAMO </t>
    </r>
  </si>
  <si>
    <t>valoredell'area incluso in quello del complesso ospizio marino</t>
  </si>
  <si>
    <t>COMUNE  DI  COLONNELLA</t>
  </si>
  <si>
    <t>VALORE COMPLESSIVO PATRIMONIO A.S.L. DI TERAMO</t>
  </si>
  <si>
    <t>VALORE TERRENI
INCREMENTATO DEL 25%</t>
  </si>
  <si>
    <r>
      <t xml:space="preserve">NOTE: </t>
    </r>
    <r>
      <rPr>
        <sz val="12"/>
        <rFont val="Arial"/>
        <family val="2"/>
      </rPr>
      <t>Terreni con sovrastante Poliambulatorio</t>
    </r>
  </si>
  <si>
    <t>Sant'Egidio alla Vibrata
Strada Comunale s.n.c.</t>
  </si>
  <si>
    <t>rendita catastale risultante da apposita visura, moltiplicata per il coefficiente 75 (coefficiente utilizzato dagli uffici finanziari di accertamento).</t>
  </si>
  <si>
    <t>Al valore catastale così determinato è stato attribuito un incremento secondo il criterio per la determinazione dell'Imposta di Registro, ovvero:</t>
  </si>
  <si>
    <t>Comune di Colonnella</t>
  </si>
  <si>
    <r>
      <t xml:space="preserve">NOTE: </t>
    </r>
    <r>
      <rPr>
        <sz val="12"/>
        <rFont val="Arial"/>
        <family val="2"/>
      </rPr>
      <t>POLIAMBULATORIO</t>
    </r>
  </si>
  <si>
    <r>
      <t xml:space="preserve">NOTE: </t>
    </r>
    <r>
      <rPr>
        <sz val="12"/>
        <rFont val="Arial"/>
        <family val="2"/>
      </rPr>
      <t xml:space="preserve">POLIAMBULATORIO </t>
    </r>
  </si>
  <si>
    <t>c.da S. Atto SNC - 
p. S1,- T, 1</t>
  </si>
  <si>
    <t>c.da S. Atto SNC - 
p. T</t>
  </si>
  <si>
    <t>4,5 vani</t>
  </si>
  <si>
    <r>
      <t>NOTE:</t>
    </r>
    <r>
      <rPr>
        <sz val="12"/>
        <rFont val="Arial"/>
        <family val="2"/>
      </rPr>
      <t xml:space="preserve"> DISTRETTO SANITARIO DI BASE</t>
    </r>
  </si>
  <si>
    <t>COMUNE  DI   NOTARESCO</t>
  </si>
  <si>
    <t>mc. 3447</t>
  </si>
  <si>
    <t>A/10</t>
  </si>
  <si>
    <t>4 vani</t>
  </si>
  <si>
    <t>PRESIDIO  DI  GIULIANOVA</t>
  </si>
  <si>
    <t>COMUNE  DI  GIULIANOVA</t>
  </si>
  <si>
    <t>a</t>
  </si>
  <si>
    <r>
      <t>INTESTAZIONE-TITOLO:</t>
    </r>
    <r>
      <rPr>
        <sz val="12"/>
        <rFont val="Arial"/>
        <family val="2"/>
      </rPr>
      <t xml:space="preserve"> OSPEDALI E ISTITUTI RIUNITI DI RICOVERO DI TERAMO PER OSPEDALE CIVILE S. ANTONIO ABATE</t>
    </r>
  </si>
  <si>
    <t>7.40</t>
  </si>
  <si>
    <t>20.70</t>
  </si>
  <si>
    <t>mc. 1487</t>
  </si>
  <si>
    <r>
      <t xml:space="preserve">UBICAZIONE: </t>
    </r>
    <r>
      <rPr>
        <sz val="12"/>
        <rFont val="Arial"/>
        <family val="2"/>
      </rPr>
      <t>COMUNE DI GIULIANOVA - VIA FILIPPO TURATI</t>
    </r>
  </si>
  <si>
    <r>
      <t>NOTE:</t>
    </r>
    <r>
      <rPr>
        <sz val="12"/>
        <rFont val="Arial"/>
        <family val="2"/>
      </rPr>
      <t xml:space="preserve"> TERRENO CON SOVRASTANTE POLIAMBULATORIO, SER.T. </t>
    </r>
  </si>
  <si>
    <r>
      <t>NOTE:</t>
    </r>
    <r>
      <rPr>
        <sz val="12"/>
        <rFont val="Arial"/>
        <family val="2"/>
      </rPr>
      <t xml:space="preserve"> POLIAMBULATORIO, SER.T.</t>
    </r>
  </si>
  <si>
    <t>55.70</t>
  </si>
  <si>
    <t>fabb.rurale</t>
  </si>
  <si>
    <t>4.20</t>
  </si>
  <si>
    <t>72.30</t>
  </si>
  <si>
    <t>15.60</t>
  </si>
  <si>
    <t xml:space="preserve">2308  
</t>
  </si>
  <si>
    <r>
      <t xml:space="preserve">INTESTAZIONE-TITOLO: </t>
    </r>
    <r>
      <rPr>
        <sz val="12"/>
        <rFont val="Arial"/>
        <family val="2"/>
      </rPr>
      <t>OSPEDALE CIVILE SAN ROCCO DI GIULIANOVA</t>
    </r>
    <r>
      <rPr>
        <b/>
        <sz val="12"/>
        <rFont val="Arial"/>
        <family val="2"/>
      </rPr>
      <t xml:space="preserve"> </t>
    </r>
  </si>
  <si>
    <r>
      <t xml:space="preserve">UBICAZIONE: </t>
    </r>
    <r>
      <rPr>
        <sz val="12"/>
        <rFont val="Arial"/>
        <family val="2"/>
      </rPr>
      <t>COMUNE DI GIULIANOVA - VIA GRAMSCI</t>
    </r>
  </si>
  <si>
    <r>
      <t>NOTE:</t>
    </r>
    <r>
      <rPr>
        <sz val="12"/>
        <rFont val="Arial"/>
        <family val="2"/>
      </rPr>
      <t xml:space="preserve"> TERRENI CON SOVRASTANTE OSPEDALE CIVILE </t>
    </r>
  </si>
  <si>
    <t>21.63</t>
  </si>
  <si>
    <r>
      <t xml:space="preserve">UBICAZIONE: </t>
    </r>
    <r>
      <rPr>
        <sz val="12"/>
        <rFont val="Arial"/>
        <family val="2"/>
      </rPr>
      <t xml:space="preserve">COMUNE DI GIULIANOVA </t>
    </r>
  </si>
  <si>
    <t>INTESTAZIONE-TITOLO:</t>
  </si>
  <si>
    <t xml:space="preserve">UBICAZIONE: </t>
  </si>
  <si>
    <t>mc. 37.126</t>
  </si>
  <si>
    <t>TOTALE VALORE ACQUISTO</t>
  </si>
  <si>
    <t>TOTALE VAVOLE ACQUISTO</t>
  </si>
  <si>
    <r>
      <t>NOTE:</t>
    </r>
    <r>
      <rPr>
        <sz val="12"/>
        <rFont val="Arial"/>
        <family val="2"/>
      </rPr>
      <t xml:space="preserve"> a) Padiglione Ovest; b) Palazzina ex Otorino - oggi Psichiatria; c) Palazzina Uffici </t>
    </r>
  </si>
  <si>
    <t>edificio in Via  Fonte della  Noce</t>
  </si>
  <si>
    <r>
      <t xml:space="preserve">UBICAZIONE: </t>
    </r>
    <r>
      <rPr>
        <sz val="12"/>
        <rFont val="Arial"/>
        <family val="2"/>
      </rPr>
      <t xml:space="preserve">COMUNE DI ISOLA DEL GRAN SASSO - località C. DA SANTONE </t>
    </r>
  </si>
  <si>
    <r>
      <t>NOTE:</t>
    </r>
    <r>
      <rPr>
        <sz val="12"/>
        <rFont val="Arial"/>
        <family val="2"/>
      </rPr>
      <t xml:space="preserve"> UFFICI ASL - EX SCUOLA PER INFERMIERI PROFESSIONALI</t>
    </r>
  </si>
  <si>
    <r>
      <t>NOTE:</t>
    </r>
    <r>
      <rPr>
        <sz val="12"/>
        <rFont val="Arial"/>
        <family val="2"/>
      </rPr>
      <t xml:space="preserve"> PALAZZINA ADIBITA A UFFICI + DSB</t>
    </r>
  </si>
  <si>
    <t>PRESIDIO  DI  SANT'OMERO</t>
  </si>
  <si>
    <t>1.30</t>
  </si>
  <si>
    <r>
      <t xml:space="preserve">INTESTAZIONE-TITOLO: </t>
    </r>
    <r>
      <rPr>
        <sz val="12"/>
        <rFont val="Arial"/>
        <family val="2"/>
      </rPr>
      <t xml:space="preserve">ISTITUTO DI CURA E DI RICOVERO OSPEDALE CIVILE DI S.OMERO </t>
    </r>
  </si>
  <si>
    <r>
      <t xml:space="preserve">UBICAZIONE: </t>
    </r>
    <r>
      <rPr>
        <sz val="12"/>
        <rFont val="Arial"/>
        <family val="2"/>
      </rPr>
      <t>COMUNE DI SANT' OMERO</t>
    </r>
  </si>
  <si>
    <r>
      <t xml:space="preserve">NOTE: </t>
    </r>
    <r>
      <rPr>
        <sz val="12"/>
        <rFont val="Arial"/>
        <family val="2"/>
      </rPr>
      <t>TERRENI CON SOVRASTANTE OSPEDALE</t>
    </r>
  </si>
  <si>
    <r>
      <t>NOTE:</t>
    </r>
    <r>
      <rPr>
        <sz val="12"/>
        <rFont val="Arial"/>
        <family val="2"/>
      </rPr>
      <t xml:space="preserve"> OSPEDALE </t>
    </r>
  </si>
  <si>
    <t xml:space="preserve">CRITERI   DI  VALUTAZIONE </t>
  </si>
  <si>
    <t>Per la determinazione del  Patrimonio Immobiliare ASL sono stati adottati i seguenti criteri:</t>
  </si>
  <si>
    <t>TERRENI:</t>
  </si>
  <si>
    <t>FABBRICATI:</t>
  </si>
  <si>
    <t>Rendita catastale aumentata del 25%;</t>
  </si>
  <si>
    <t>Rendita catastale aumentata del 5%.</t>
  </si>
  <si>
    <t>PER I FABBRICATI:</t>
  </si>
  <si>
    <t>PER I TERRENI:</t>
  </si>
  <si>
    <t>Via Salara</t>
  </si>
  <si>
    <t>Frazione Villa Rosa</t>
  </si>
  <si>
    <t>* Euro 2.303,91</t>
  </si>
  <si>
    <t>* Euro 40.265,05</t>
  </si>
  <si>
    <r>
      <t>NOTE</t>
    </r>
    <r>
      <rPr>
        <sz val="14"/>
        <rFont val="Arial"/>
        <family val="2"/>
      </rPr>
      <t>:  EDIFICIO ADIBITO A RESIDENZA SANITARIA ASSISTENZIALE</t>
    </r>
  </si>
  <si>
    <r>
      <t xml:space="preserve">NOTE: </t>
    </r>
    <r>
      <rPr>
        <sz val="12"/>
        <rFont val="Arial"/>
        <family val="2"/>
      </rPr>
      <t>EDIFICIO  ADIBITO  A DISTRETTO  SANITARIO  DI  BASE</t>
    </r>
  </si>
  <si>
    <r>
      <t>NOTE:</t>
    </r>
    <r>
      <rPr>
        <sz val="12"/>
        <rFont val="Arial"/>
        <family val="2"/>
      </rPr>
      <t xml:space="preserve"> EDIFICIO  ADIBITO  A DISTRETTO  SANITARIO  DI  BASE</t>
    </r>
  </si>
  <si>
    <t>ISOLA DEL GRAN SASSO</t>
  </si>
  <si>
    <t>MONTORIO AL VOMANO</t>
  </si>
  <si>
    <t>ATRI</t>
  </si>
  <si>
    <t>BISENTI</t>
  </si>
  <si>
    <t>CASTIGLIONE M.R.</t>
  </si>
  <si>
    <t>CASTILENTI</t>
  </si>
  <si>
    <t>CELLINO ATTANASIO</t>
  </si>
  <si>
    <t>CERMIGNANO</t>
  </si>
  <si>
    <t>NOTARESCO</t>
  </si>
  <si>
    <t>PRESIDIO DI SANT'OMERO</t>
  </si>
  <si>
    <t>GIULIANOVA</t>
  </si>
  <si>
    <t>SANT'OMERO</t>
  </si>
  <si>
    <t>MARTINSICURO</t>
  </si>
  <si>
    <t>NERETO</t>
  </si>
  <si>
    <t>SANT'EGIDIO</t>
  </si>
  <si>
    <t>SILVI</t>
  </si>
  <si>
    <t>MOSCIANO S.ANGELO</t>
  </si>
  <si>
    <t>ROSETO DEGLI ABRUZZI</t>
  </si>
  <si>
    <t>TORTORETO</t>
  </si>
  <si>
    <t>Comune di Castiglione Messer Raimondo</t>
  </si>
  <si>
    <t>Ubicazione</t>
  </si>
  <si>
    <t xml:space="preserve">VALORE
(DI COSTRUZIONE)
</t>
  </si>
  <si>
    <t>0.49</t>
  </si>
  <si>
    <t>39.20</t>
  </si>
  <si>
    <t>Villa Mosca</t>
  </si>
  <si>
    <t>Chioschi
in Villa Mosca</t>
  </si>
  <si>
    <t>Via Cesare Battisti</t>
  </si>
  <si>
    <t>Contrada Santone</t>
  </si>
  <si>
    <t>Montorio</t>
  </si>
  <si>
    <t>Viale Risorgimento</t>
  </si>
  <si>
    <r>
      <t xml:space="preserve">INTESTAZIONE-TITOLO: </t>
    </r>
    <r>
      <rPr>
        <sz val="12"/>
        <rFont val="Arial"/>
        <family val="2"/>
      </rPr>
      <t>COMUNE DI NERETO - PROPRIETARIO
                                                          ULSS n. 8 SANT'OMERO  -  DESTINAZIONE  D'USO</t>
    </r>
  </si>
  <si>
    <r>
      <t xml:space="preserve">UBICAZIONE: </t>
    </r>
    <r>
      <rPr>
        <sz val="12"/>
        <rFont val="Arial"/>
        <family val="2"/>
      </rPr>
      <t>COMUNE DI  NERETO</t>
    </r>
  </si>
  <si>
    <t>Nereto</t>
  </si>
  <si>
    <t>semin. Arbor.</t>
  </si>
  <si>
    <t>incluso nel valore dell'edificio</t>
  </si>
  <si>
    <r>
      <t xml:space="preserve">NOTE: </t>
    </r>
    <r>
      <rPr>
        <sz val="12"/>
        <rFont val="Arial"/>
        <family val="2"/>
      </rPr>
      <t>TERRENO CON SOVRASTANTE EDIFICIO ADIBITO A SERV. DIAGNOSTICO E CURA</t>
    </r>
  </si>
  <si>
    <r>
      <t>NOTE:</t>
    </r>
    <r>
      <rPr>
        <sz val="12"/>
        <rFont val="Arial"/>
        <family val="2"/>
      </rPr>
      <t xml:space="preserve"> EDIFICIO ADIBITO A SIAN - SERV. RIABILITAZIONE</t>
    </r>
  </si>
  <si>
    <r>
      <t xml:space="preserve">UBICAZIONE: </t>
    </r>
    <r>
      <rPr>
        <sz val="12"/>
        <rFont val="Arial"/>
        <family val="2"/>
      </rPr>
      <t>COMUNE DI NERETO - VIA MARCO IACHINI N. 21</t>
    </r>
  </si>
  <si>
    <t>Piano 1S - T 1 - 2</t>
  </si>
  <si>
    <r>
      <t xml:space="preserve">UBICAZIONE: </t>
    </r>
    <r>
      <rPr>
        <sz val="12"/>
        <rFont val="Arial"/>
        <family val="2"/>
      </rPr>
      <t>COMUNE DI NERETO - VIA MARCO IACHINI, 33</t>
    </r>
  </si>
  <si>
    <r>
      <t>NOTE:</t>
    </r>
    <r>
      <rPr>
        <sz val="12"/>
        <rFont val="Arial"/>
        <family val="2"/>
      </rPr>
      <t xml:space="preserve"> EDIFICIO ADIBITO A SERT</t>
    </r>
  </si>
  <si>
    <t>Piano 1S - T - 1</t>
  </si>
  <si>
    <t>Via Isonzo snc
piano T</t>
  </si>
  <si>
    <t>Via alla Salara snc
piano S1 - T</t>
  </si>
  <si>
    <t xml:space="preserve">Via Marco Polo </t>
  </si>
  <si>
    <r>
      <t xml:space="preserve">INTESTAZIONE-TITOLO: </t>
    </r>
    <r>
      <rPr>
        <sz val="12"/>
        <rFont val="Arial"/>
        <family val="2"/>
      </rPr>
      <t>AZIENDA UNITA' SANITARIA LOCALE - TERAMO</t>
    </r>
  </si>
  <si>
    <t>Via S. Domenico 
piano T - S1</t>
  </si>
  <si>
    <t>Via Finocchi</t>
  </si>
  <si>
    <t>Bisenti</t>
  </si>
  <si>
    <t>Contrada San Salvatore</t>
  </si>
  <si>
    <t>Contrada S. Michele</t>
  </si>
  <si>
    <t>Cellino A.</t>
  </si>
  <si>
    <t>Cermignano</t>
  </si>
  <si>
    <t>Notaresco</t>
  </si>
  <si>
    <t>S.S. 16</t>
  </si>
  <si>
    <t>Via Filippo Turati</t>
  </si>
  <si>
    <t>Via Gramsci</t>
  </si>
  <si>
    <t>Giulianova Paese</t>
  </si>
  <si>
    <t>Mosciano S.A.</t>
  </si>
  <si>
    <r>
      <t>NOTE:  E</t>
    </r>
    <r>
      <rPr>
        <sz val="14"/>
        <rFont val="Arial"/>
        <family val="2"/>
      </rPr>
      <t>DIFICIO ADIBITO A DISTRETTO SANITARIO DI BASE -  Via Isonzo s.n.c.</t>
    </r>
  </si>
  <si>
    <t>Comune di Cellino</t>
  </si>
  <si>
    <t>Comune di Silvi</t>
  </si>
  <si>
    <t>D/1</t>
  </si>
  <si>
    <t>Comune di Mosciano S. Angelo</t>
  </si>
  <si>
    <t xml:space="preserve">Comune di Roseto degli Abruzzi </t>
  </si>
  <si>
    <t>Comune di S. Egidio alla Vibrata</t>
  </si>
  <si>
    <t>Comune di Tortoreto</t>
  </si>
  <si>
    <t>CRITERI  DI  VALUTAZIONE</t>
  </si>
  <si>
    <t>RIEPILOGO  VALORE   PATRIMONIO</t>
  </si>
  <si>
    <t>61.80</t>
  </si>
  <si>
    <t>47.80</t>
  </si>
  <si>
    <t>2.10</t>
  </si>
  <si>
    <t>VALORE TOTALE  DI  ACQUISTO</t>
  </si>
  <si>
    <r>
      <t xml:space="preserve">INTESTAZIONE-TITOLO: </t>
    </r>
    <r>
      <rPr>
        <sz val="12"/>
        <rFont val="Arial"/>
        <family val="2"/>
      </rPr>
      <t xml:space="preserve">AZIENDA UNITA' SANITARIA LOCALE - TERAMO </t>
    </r>
  </si>
  <si>
    <r>
      <t xml:space="preserve">NOTE: </t>
    </r>
    <r>
      <rPr>
        <sz val="12"/>
        <rFont val="Arial"/>
        <family val="2"/>
      </rPr>
      <t>TERRENI ACQUISITI CON ATTO DI COMPRAVENDITA DEL 26.04.2002</t>
    </r>
  </si>
  <si>
    <t>COMUNE  DI  NERETO</t>
  </si>
  <si>
    <t>mc. 5.940</t>
  </si>
  <si>
    <t>mc. 1.826</t>
  </si>
  <si>
    <t xml:space="preserve">VALORE DI COSTRUZIONE    (ved. nota)  </t>
  </si>
  <si>
    <t>VALORE DI COSTRUZIONE  RIF.  EDIFICIO IN FONTE DELLA NOCE - FG. 63 - PART. 78 (ved. nota)</t>
  </si>
  <si>
    <r>
      <t xml:space="preserve">INTESTAZIONE-TITOLO: </t>
    </r>
    <r>
      <rPr>
        <sz val="12"/>
        <rFont val="Arial"/>
        <family val="2"/>
      </rPr>
      <t>COMUNE DI NERETO</t>
    </r>
  </si>
  <si>
    <r>
      <t xml:space="preserve">INTESTAZIONE-TITOLO: </t>
    </r>
    <r>
      <rPr>
        <sz val="12"/>
        <rFont val="Arial"/>
        <family val="2"/>
      </rPr>
      <t>CONSORZIO ANTITUBERCOLARE DELLA PROVINCIA DI TERAMO</t>
    </r>
  </si>
  <si>
    <t>COMUNE  DI  SANT'EGIDIO  ALLA  VIBRATA</t>
  </si>
  <si>
    <t>COMUNE  DI  MARTINSICURO</t>
  </si>
  <si>
    <r>
      <t>INTESTAZIONE-TITOLO:</t>
    </r>
    <r>
      <rPr>
        <sz val="12"/>
        <rFont val="Arial"/>
        <family val="2"/>
      </rPr>
      <t xml:space="preserve"> AZIENDA UNITA' SANITARIA LOCALE - TERAMO</t>
    </r>
  </si>
  <si>
    <r>
      <t xml:space="preserve">UBICAZIONE: </t>
    </r>
    <r>
      <rPr>
        <sz val="12"/>
        <rFont val="Arial"/>
        <family val="2"/>
      </rPr>
      <t>COMUNE DI MARTINSICURO  - FRAZIONE  VILLA ROSA</t>
    </r>
  </si>
  <si>
    <r>
      <t xml:space="preserve">NOTE: </t>
    </r>
    <r>
      <rPr>
        <sz val="12"/>
        <rFont val="Arial"/>
        <family val="2"/>
      </rPr>
      <t xml:space="preserve">POLIAMBULATORIO realizzato su terreno concesso dal Comune di Martinsicuro in diritto di </t>
    </r>
  </si>
  <si>
    <t>INTESTAZIONE-TITOLO: Comune di Montorio e altri soggetti privati</t>
  </si>
  <si>
    <t>COMUNE  DI 
  CASTIGLIONE  MESSER  RAIMONDO</t>
  </si>
  <si>
    <r>
      <t xml:space="preserve">UBICAZIONE: </t>
    </r>
    <r>
      <rPr>
        <sz val="12"/>
        <rFont val="Arial"/>
        <family val="2"/>
      </rPr>
      <t>COMUNE DI ROSETO  DEGLI  ABRUZZI</t>
    </r>
  </si>
  <si>
    <r>
      <t xml:space="preserve">UBICAZIONE: </t>
    </r>
    <r>
      <rPr>
        <sz val="12"/>
        <rFont val="Arial"/>
        <family val="2"/>
      </rPr>
      <t>COMUNE DI  SANT'OMERO - VIA SALARA</t>
    </r>
  </si>
  <si>
    <r>
      <t xml:space="preserve">NOTE: </t>
    </r>
    <r>
      <rPr>
        <sz val="12"/>
        <rFont val="Arial"/>
        <family val="2"/>
      </rPr>
      <t>TERRENO   ADIACENTE  DSB ED OSPEDALE</t>
    </r>
  </si>
  <si>
    <t>CATEG.</t>
  </si>
  <si>
    <t>CLASSE</t>
  </si>
  <si>
    <t>CONSISTENZA</t>
  </si>
  <si>
    <t>VALORE</t>
  </si>
  <si>
    <t>U</t>
  </si>
  <si>
    <t>PRESIDIO DI TERAMO</t>
  </si>
  <si>
    <t>COMUNE</t>
  </si>
  <si>
    <t>VALORE TERRENI</t>
  </si>
  <si>
    <t>TERAMO</t>
  </si>
  <si>
    <t>PRESIDIO  DI  TERAMO:</t>
  </si>
  <si>
    <t>Comune  di  Teramo</t>
  </si>
  <si>
    <t>PRESIDIO  DI  GIULIANOVA:</t>
  </si>
  <si>
    <t>PRESIDIO  DI  SANT'OMERO:</t>
  </si>
  <si>
    <t>Comune  di  Sant'Omero</t>
  </si>
  <si>
    <t>PRESIDIO  DI  TERAMO</t>
  </si>
  <si>
    <t>COMUNE  DI  TERAMO</t>
  </si>
  <si>
    <t>CATASTO  URBANO</t>
  </si>
  <si>
    <r>
      <t xml:space="preserve">UBICAZIONE: </t>
    </r>
    <r>
      <rPr>
        <sz val="12"/>
        <rFont val="Arial"/>
        <family val="2"/>
      </rPr>
      <t>COMUNE  DI  TERAMO</t>
    </r>
  </si>
  <si>
    <t>FOGLIO</t>
  </si>
  <si>
    <t>PARTICELLA</t>
  </si>
  <si>
    <t>ZONA CENSUARIA</t>
  </si>
  <si>
    <t>RENDITA</t>
  </si>
  <si>
    <t xml:space="preserve">Num. </t>
  </si>
  <si>
    <t>Sub</t>
  </si>
  <si>
    <t>* rendita presunta</t>
  </si>
  <si>
    <t>VALORE  TOTALE</t>
  </si>
  <si>
    <t xml:space="preserve">Teramo lì </t>
  </si>
  <si>
    <t>N. 1</t>
  </si>
  <si>
    <t>Comune di Isola del Gran Sasso</t>
  </si>
  <si>
    <t>Comune di Montorio al Vomano</t>
  </si>
  <si>
    <t>PRESIDIO  DI  ATRI:</t>
  </si>
  <si>
    <t>Comune di Atri</t>
  </si>
  <si>
    <t>Comune di Bisenti</t>
  </si>
  <si>
    <t>Comune di Castilenti</t>
  </si>
  <si>
    <t>Comune di Cermignano</t>
  </si>
  <si>
    <t>Comune di Notaresco</t>
  </si>
  <si>
    <t>Comune  di  Giulianova</t>
  </si>
  <si>
    <t>valore di acquisto</t>
  </si>
  <si>
    <t xml:space="preserve">valore di costruzione </t>
  </si>
  <si>
    <t>F.ne Villa S. Romualdo
p. S1-T, 1-2, 3.</t>
  </si>
  <si>
    <t>Comune di Nereto</t>
  </si>
  <si>
    <t>Comune di Martinsicuro</t>
  </si>
  <si>
    <t xml:space="preserve">  pag.  3</t>
  </si>
  <si>
    <t>CATASTO  TERRENI</t>
  </si>
  <si>
    <t>QUALITA'</t>
  </si>
  <si>
    <t>REDDITO DOMINICALE</t>
  </si>
  <si>
    <t>REDDITO AGRARIO</t>
  </si>
  <si>
    <t>SUPERFICIE     HA  A  CA</t>
  </si>
  <si>
    <t>7.20</t>
  </si>
  <si>
    <t>Sommatoria  rendite</t>
  </si>
  <si>
    <t>seminativo</t>
  </si>
  <si>
    <t>sem.arb.</t>
  </si>
  <si>
    <r>
      <t xml:space="preserve">INTESTAZIONE - TITOLO : </t>
    </r>
    <r>
      <rPr>
        <sz val="12"/>
        <rFont val="Arial"/>
        <family val="2"/>
      </rPr>
      <t>OSPEDALI ED ISTITUTI DI TERAMO</t>
    </r>
  </si>
  <si>
    <t>4.70</t>
  </si>
  <si>
    <t>semin arb.</t>
  </si>
  <si>
    <t>vigneto</t>
  </si>
  <si>
    <t>semin.arb.</t>
  </si>
  <si>
    <t>PRESIDIO DI GIULIANOVA</t>
  </si>
  <si>
    <t>VALORE TOTALE TERRENI</t>
  </si>
  <si>
    <t>TOTALE VALORE URBANO</t>
  </si>
  <si>
    <t>TOTALE VALORE COSTRUZIONE</t>
  </si>
  <si>
    <t>valore di costruzione</t>
  </si>
  <si>
    <r>
      <t xml:space="preserve">UBICAZIONE: </t>
    </r>
    <r>
      <rPr>
        <sz val="12"/>
        <rFont val="Arial"/>
        <family val="2"/>
      </rPr>
      <t xml:space="preserve">COMUNE  DI   TERAMO </t>
    </r>
  </si>
  <si>
    <t>B/2</t>
  </si>
  <si>
    <t>A/5</t>
  </si>
  <si>
    <t>B/4</t>
  </si>
  <si>
    <t xml:space="preserve">NOTE:  </t>
  </si>
  <si>
    <t>B/1</t>
  </si>
  <si>
    <t>mc. 2.484</t>
  </si>
  <si>
    <t>C/1</t>
  </si>
  <si>
    <r>
      <t>INTESTAZIONE - TITOLO :</t>
    </r>
    <r>
      <rPr>
        <sz val="12"/>
        <rFont val="Arial"/>
        <family val="2"/>
      </rPr>
      <t>OSPEDALE CIVILE S.ANTONIO ABATE: AMMINISTRATO DAGLI OSPEDALI ED ISTITUTI RIUNITI</t>
    </r>
  </si>
  <si>
    <r>
      <t xml:space="preserve">UBICAZIONE: </t>
    </r>
    <r>
      <rPr>
        <sz val="12"/>
        <rFont val="Arial"/>
        <family val="2"/>
      </rPr>
      <t>COMUNE  DI   TERAMO - VILLA MOSCA</t>
    </r>
  </si>
  <si>
    <t>B/5</t>
  </si>
  <si>
    <t>VALORE TOTALE</t>
  </si>
  <si>
    <r>
      <t xml:space="preserve">UBICAZIONE: </t>
    </r>
    <r>
      <rPr>
        <sz val="12"/>
        <rFont val="Arial"/>
        <family val="2"/>
      </rPr>
      <t>COMUNE  DI   TERAMO -VIA  CESARE BATTISTI</t>
    </r>
  </si>
  <si>
    <t>m.c. 2.500</t>
  </si>
  <si>
    <r>
      <t xml:space="preserve">UBICAZIONE: </t>
    </r>
    <r>
      <rPr>
        <sz val="12"/>
        <rFont val="Arial"/>
        <family val="2"/>
      </rPr>
      <t>COMUNE  DI   TERAMO -CONTRADA CASALENA</t>
    </r>
  </si>
  <si>
    <t>semin.arb</t>
  </si>
  <si>
    <t>CATASTO TERRENI</t>
  </si>
  <si>
    <t>FOGL.</t>
  </si>
  <si>
    <t>CATASTO URBANO</t>
  </si>
  <si>
    <t>RENDITA
*rendita presunta</t>
  </si>
  <si>
    <t>COMUNE  DI  ISOLA  DEL  GRAN  SASSO</t>
  </si>
  <si>
    <t>Nel caso dei chioschi la ASL è proprietaria dell'area e privati hanno la proprietà superficiaria. Il valore dell'area è incluso in quello del complesso ospedaliero</t>
  </si>
  <si>
    <r>
      <t xml:space="preserve">INTESTAZIONE-TITOLO: </t>
    </r>
    <r>
      <rPr>
        <sz val="12"/>
        <rFont val="Arial"/>
        <family val="2"/>
      </rPr>
      <t>ENEL distribuzione S.p.A.</t>
    </r>
  </si>
  <si>
    <t xml:space="preserve">Ubicazione </t>
  </si>
  <si>
    <r>
      <t xml:space="preserve">INTESTAZIONE - TITOLO :  </t>
    </r>
    <r>
      <rPr>
        <sz val="12"/>
        <rFont val="Arial"/>
        <family val="2"/>
      </rPr>
      <t xml:space="preserve">AZIENDA UNITA' SANITARIA LOCALE - TERAMO
                                                           CIAMPINI  ANNA  - USUFRUTTUARIA  DELL'AREA
                                                           TRIBOTTI FLORINDO - PROPRIETARIO DELL'AREA
</t>
    </r>
  </si>
  <si>
    <t>D/4</t>
  </si>
  <si>
    <t>COMUNE  DI  MONTORIO  AL  VOMANO</t>
  </si>
  <si>
    <t>COMUNE  DI  TORTORETO</t>
  </si>
  <si>
    <r>
      <t xml:space="preserve">INTESTAZIONE - TITOLO :  </t>
    </r>
    <r>
      <rPr>
        <sz val="12"/>
        <rFont val="Arial"/>
        <family val="2"/>
      </rPr>
      <t>AZIENDA UNITA' SANITARIA LOCALE - TERAMO
                                                           IMMOBILIARE HOLIDAY   - PROPRIETARIA DELL'AREA</t>
    </r>
  </si>
  <si>
    <t>fab.da acc.</t>
  </si>
  <si>
    <t xml:space="preserve">INTESTAZIONE-TITOLO: </t>
  </si>
  <si>
    <t>VALORE
(di costruzione)</t>
  </si>
  <si>
    <t xml:space="preserve">INDICE  </t>
  </si>
  <si>
    <t>VALORE  A</t>
  </si>
  <si>
    <r>
      <t xml:space="preserve">UBICAZIONE: </t>
    </r>
    <r>
      <rPr>
        <sz val="12"/>
        <rFont val="Arial"/>
        <family val="2"/>
      </rPr>
      <t>COMUNE  DI   CASTILENTI  -  FRAZIONE VILLA S. ROMUALDO</t>
    </r>
  </si>
  <si>
    <t xml:space="preserve">          superficie con vincolo di destinazione specifica (estensione di ca. mq. 3116) per 99 anni</t>
  </si>
  <si>
    <t xml:space="preserve">   
PARTICELLA
  NUM.      SUB</t>
  </si>
  <si>
    <t xml:space="preserve">
    ZONA
CENSUARIA</t>
  </si>
  <si>
    <r>
      <t xml:space="preserve">UBICAZIONE: </t>
    </r>
    <r>
      <rPr>
        <sz val="12"/>
        <rFont val="Arial"/>
        <family val="2"/>
      </rPr>
      <t>COMUNE DI  SILVI  -  STATALE ADRIATICA N. 16  P.T.</t>
    </r>
  </si>
  <si>
    <t>5.75</t>
  </si>
  <si>
    <t>E/3</t>
  </si>
  <si>
    <t>Chioschi</t>
  </si>
  <si>
    <t xml:space="preserve">COMUNE  DI  ROSETO  DEGLI  ABRUZZI </t>
  </si>
  <si>
    <t>VALOTE TOTALE</t>
  </si>
  <si>
    <r>
      <t>INTESTAZIONE-TITOLO:</t>
    </r>
    <r>
      <rPr>
        <sz val="12"/>
        <rFont val="Arial"/>
        <family val="2"/>
      </rPr>
      <t xml:space="preserve"> COMUNE DI NOTARESCO</t>
    </r>
  </si>
  <si>
    <t>Valore di costruzione</t>
  </si>
  <si>
    <r>
      <t xml:space="preserve">UBICAZIONE: </t>
    </r>
    <r>
      <rPr>
        <sz val="12"/>
        <rFont val="Arial"/>
        <family val="2"/>
      </rPr>
      <t xml:space="preserve">COMUNE DI GIULIANOVA                          NOTE:  </t>
    </r>
  </si>
  <si>
    <t>località Casalena</t>
  </si>
  <si>
    <t>COLONNELLA</t>
  </si>
  <si>
    <t>COMUNE  DI  SANT'OMERO</t>
  </si>
  <si>
    <t xml:space="preserve">VALORE
</t>
  </si>
  <si>
    <t>CATASTO   TERRENI</t>
  </si>
  <si>
    <t>semin.</t>
  </si>
  <si>
    <t xml:space="preserve">COMUNE  DI  SILVI  </t>
  </si>
  <si>
    <t xml:space="preserve">COMUNE  DI  MOSCIANO  S.ANGELO  </t>
  </si>
  <si>
    <t>Cabina Enel</t>
  </si>
  <si>
    <t xml:space="preserve">8160 mc. </t>
  </si>
  <si>
    <t>mc. 6799</t>
  </si>
  <si>
    <r>
      <t xml:space="preserve">INTESTAZIONE - TITOLO :  </t>
    </r>
    <r>
      <rPr>
        <sz val="12"/>
        <rFont val="Arial"/>
        <family val="2"/>
      </rPr>
      <t xml:space="preserve">AZIENDA UNITA' SANITARIA LOCALE - TERAMO
                                                           </t>
    </r>
  </si>
  <si>
    <t>TOTALE</t>
  </si>
  <si>
    <t>Piano T - 1</t>
  </si>
  <si>
    <t>Piano 2 - 3</t>
  </si>
  <si>
    <r>
      <t>INTESTAZIONE-TITOLO:</t>
    </r>
    <r>
      <rPr>
        <sz val="12"/>
        <rFont val="Arial"/>
        <family val="2"/>
      </rPr>
      <t xml:space="preserve"> AZIENDA UNITA' SANITARIA LOCALE - TERAMO - 
                                                                  CARRA FRANCA - PRETAROLI CARLO - CARLO LUIGI - RENATO -:  PROPRIETARI DELL'AREA</t>
    </r>
  </si>
  <si>
    <t>PRESIDIO DI ATRI</t>
  </si>
  <si>
    <t>PRESIDIO  DI  ATRI</t>
  </si>
  <si>
    <t>COMUNE  DI  ATRI</t>
  </si>
  <si>
    <t>mc. 2.085</t>
  </si>
  <si>
    <t>mc. 4.717</t>
  </si>
  <si>
    <t>COMUNE  DI  CELLINO  ATTANASIO</t>
  </si>
  <si>
    <t>COMUNE  DI  BISENTI</t>
  </si>
  <si>
    <t xml:space="preserve">COMUNE DI CASTIGLIONE MESSER RAIMONDO; PROPR. DEL FABBRICATO </t>
  </si>
  <si>
    <t>TROIANI ADELINA NATA A BISENTI IL 07/08/27; PROPR. DELLA P.LLA 44</t>
  </si>
  <si>
    <t>DI DONATO ANNA NATA A NARNI IL 01/02/54; PROPR. PER 1/4 DELLA P.LLA 511</t>
  </si>
  <si>
    <t>DI DONATO BALILLINA NATA A C. MESSER RAIMONDO IL 10/04/29; PROPR. PER 1/4 DELLA P.LLA 511</t>
  </si>
  <si>
    <t>DI DONATO MARIO NATO A C. MESSER RAIMONDO IL 11/09/22; PROPR. PER 1/4 DELLA P.LLA 511</t>
  </si>
  <si>
    <t>DI DONATO VITALE NATO A C. MESSER RAIMONDO IL 29/04/20; PRPPR. PER 1/4 DELLA P.LLA 511</t>
  </si>
  <si>
    <t>44
511</t>
  </si>
  <si>
    <t>COMUNE  DI   CASTILENTI</t>
  </si>
  <si>
    <t>COMUNE  DI   CERMIGNANO</t>
  </si>
  <si>
    <r>
      <t xml:space="preserve">NOTE: </t>
    </r>
    <r>
      <rPr>
        <sz val="12"/>
        <rFont val="Arial"/>
        <family val="2"/>
      </rPr>
      <t>DISTRETTO SANITARIO DI BASE</t>
    </r>
  </si>
  <si>
    <r>
      <t xml:space="preserve">UBICAZIONE: </t>
    </r>
    <r>
      <rPr>
        <sz val="12"/>
        <rFont val="Arial"/>
        <family val="2"/>
      </rPr>
      <t>COMUNE DI  ATRI - VIALE RISORGIMENTO</t>
    </r>
  </si>
  <si>
    <r>
      <t xml:space="preserve">NOTE: </t>
    </r>
    <r>
      <rPr>
        <sz val="12"/>
        <rFont val="Arial"/>
        <family val="2"/>
      </rPr>
      <t>TERRENO CON SOVRASTANTE  OSPEDALE CIVILE</t>
    </r>
  </si>
  <si>
    <r>
      <t xml:space="preserve">UBICAZIONE: </t>
    </r>
    <r>
      <rPr>
        <sz val="12"/>
        <rFont val="Arial"/>
        <family val="2"/>
      </rPr>
      <t>COMUNE DI ATRI - VIALE RISORGIMENTO</t>
    </r>
  </si>
  <si>
    <r>
      <t>NOTE:</t>
    </r>
    <r>
      <rPr>
        <sz val="12"/>
        <rFont val="Arial"/>
        <family val="2"/>
      </rPr>
      <t xml:space="preserve"> OSPEDALE CIVILE</t>
    </r>
  </si>
  <si>
    <t xml:space="preserve">           </t>
  </si>
  <si>
    <r>
      <t xml:space="preserve">INTESTAZIONE - TITOLO :  </t>
    </r>
    <r>
      <rPr>
        <sz val="12"/>
        <rFont val="Arial"/>
        <family val="2"/>
      </rPr>
      <t xml:space="preserve">OSPEDALE CIVILE S.ANTONIO ABATE COMPRESO  NELL'ENTE OSPEDALIERO DI TERAMO; </t>
    </r>
  </si>
  <si>
    <t>B04</t>
  </si>
  <si>
    <t>F03</t>
  </si>
  <si>
    <t>p. T</t>
  </si>
  <si>
    <t>B02</t>
  </si>
  <si>
    <t>D01</t>
  </si>
  <si>
    <t>P. t</t>
  </si>
  <si>
    <t>P. T</t>
  </si>
  <si>
    <t>P.T</t>
  </si>
  <si>
    <t>NOTE: Complesso immobiliare in Contrada Casalena (3 PAD. - complesso di n. 10 edifici di cui: 3 destinati a RSA ed 1 a Dip.to di prevenzione, altri a rustico.</t>
  </si>
  <si>
    <t>Totale valore B</t>
  </si>
  <si>
    <t>…………………………..</t>
  </si>
  <si>
    <t>VALORE TOTALE (di costruzione)</t>
  </si>
  <si>
    <t>VALORE TERRENI
INCREMENTATO  DEL 20%
L. 191/04)</t>
  </si>
  <si>
    <t>VALORE TERRENI
c/ulteriore incremento del  20%
L. 191/04</t>
  </si>
  <si>
    <t>INVENTARIO  BENI  IMMOBILI  INDISPONIBILI</t>
  </si>
  <si>
    <t>da pag.   4 a pag. 19</t>
  </si>
  <si>
    <t>da pag. 20 a pag. 21</t>
  </si>
  <si>
    <t>da pag. 22 a pag. 23</t>
  </si>
  <si>
    <t xml:space="preserve">  pag. 24</t>
  </si>
  <si>
    <t>da pag. 25 a pag. 30</t>
  </si>
  <si>
    <t>da pag. 31 a pag. 32</t>
  </si>
  <si>
    <t>da pag. 33 a pag. 34</t>
  </si>
  <si>
    <t>da pag. 35 a pag. 37</t>
  </si>
  <si>
    <t>da pag. 38 a pag. 39</t>
  </si>
  <si>
    <t>da pag. 40 a pag. 41</t>
  </si>
  <si>
    <t>da pag. 42 a pag. 43</t>
  </si>
  <si>
    <t>da pag. 44 a pag. 45</t>
  </si>
  <si>
    <t xml:space="preserve">  pag. 46</t>
  </si>
  <si>
    <t>da pag. 47 a pag. 52</t>
  </si>
  <si>
    <t>da pag. 53 a pag. 54</t>
  </si>
  <si>
    <t>da pag. 55 a pag. 56</t>
  </si>
  <si>
    <t xml:space="preserve">  pag. 57</t>
  </si>
  <si>
    <t>da pag. 58 a pag. 62</t>
  </si>
  <si>
    <t>da pag. 63 a pag. 64</t>
  </si>
  <si>
    <t>da pag. 65 a pag. 66</t>
  </si>
  <si>
    <t>da pag. 67 a pag. 69</t>
  </si>
  <si>
    <t>da pag. 70 a pag. 71</t>
  </si>
  <si>
    <t>da pag. 72 a pag. 73</t>
  </si>
  <si>
    <t xml:space="preserve">  pag. 74</t>
  </si>
  <si>
    <t>da pag. 75 a pag. 78</t>
  </si>
  <si>
    <t>TOTALE (a riportare)</t>
  </si>
  <si>
    <t>RIEPILOGO VALORE PATRIMONIO  "Beni Immobili Indisponibili"</t>
  </si>
  <si>
    <t>RIEPILOGO  GENERALE - Beni Immobili Indisponibili</t>
  </si>
  <si>
    <r>
      <t xml:space="preserve">INTESTAZIONE - TITOLO : </t>
    </r>
    <r>
      <rPr>
        <sz val="12"/>
        <rFont val="Arial"/>
        <family val="2"/>
      </rPr>
      <t>OSP.CIVILE S.ANTONIO: PROPRIETARIO - OSP. ED ISTITUTI RIUNITI DI TERAMO</t>
    </r>
  </si>
  <si>
    <t>Via Fonte della Noce</t>
  </si>
  <si>
    <t>67.90</t>
  </si>
  <si>
    <t>28.70</t>
  </si>
  <si>
    <t>88.80</t>
  </si>
  <si>
    <t>orto irrig.</t>
  </si>
  <si>
    <t>33.60</t>
  </si>
  <si>
    <r>
      <t xml:space="preserve">NOTE:  </t>
    </r>
    <r>
      <rPr>
        <sz val="12"/>
        <rFont val="Arial"/>
        <family val="2"/>
      </rPr>
      <t xml:space="preserve">TERRENI PERTINENZIALI AL COMPLESSO OSPEDALIERO VILLA MOSCA, NON SI ATTRIBUISCE VALORE </t>
    </r>
  </si>
  <si>
    <t>6.20</t>
  </si>
  <si>
    <t>15.33</t>
  </si>
  <si>
    <t>area urbana</t>
  </si>
  <si>
    <t>0.30</t>
  </si>
  <si>
    <r>
      <t xml:space="preserve">NOTE:  </t>
    </r>
    <r>
      <rPr>
        <sz val="12"/>
        <rFont val="Arial"/>
        <family val="2"/>
      </rPr>
      <t>EX DISPENSARIO</t>
    </r>
  </si>
  <si>
    <t>MC. 3.444</t>
  </si>
  <si>
    <r>
      <t xml:space="preserve">NOTE:  </t>
    </r>
    <r>
      <rPr>
        <sz val="14"/>
        <rFont val="Arial"/>
        <family val="2"/>
      </rPr>
      <t xml:space="preserve">di pertinenza </t>
    </r>
    <r>
      <rPr>
        <sz val="12"/>
        <rFont val="Arial"/>
        <family val="2"/>
      </rPr>
      <t>EX DISPENSARIO</t>
    </r>
  </si>
  <si>
    <t>incolto prod</t>
  </si>
  <si>
    <r>
      <t xml:space="preserve">UBICAZIONE: </t>
    </r>
    <r>
      <rPr>
        <sz val="12"/>
        <rFont val="Arial"/>
        <family val="2"/>
      </rPr>
      <t xml:space="preserve">COMUNE  DI   TERAMO  - VILLA MOSCA </t>
    </r>
  </si>
  <si>
    <r>
      <t xml:space="preserve">NOTE:  </t>
    </r>
    <r>
      <rPr>
        <sz val="12"/>
        <rFont val="Arial"/>
        <family val="2"/>
      </rPr>
      <t>COMPRENSORIO DEI FABBRICATI COSTITUENTI IL COMPLESSO OSPEDALIERO EX SANATORIO</t>
    </r>
  </si>
  <si>
    <t>A/2</t>
  </si>
  <si>
    <t>Ex sanatorio</t>
  </si>
  <si>
    <t>Valore della sola area (inclusa nel complesso ex sanatorio)</t>
  </si>
  <si>
    <r>
      <t xml:space="preserve">UBICAZIONE: </t>
    </r>
    <r>
      <rPr>
        <sz val="12"/>
        <rFont val="Arial"/>
        <family val="2"/>
      </rPr>
      <t>COMUNE  DI   TERAMO-  FABBRICATO SITO IN CIRCONVALLAZIONE RAGUSA</t>
    </r>
  </si>
  <si>
    <t>Via Circonvallazione Ragusa n. 1</t>
  </si>
  <si>
    <t>MC. 20.800</t>
  </si>
  <si>
    <t>C/2</t>
  </si>
  <si>
    <t>MQ. 22</t>
  </si>
  <si>
    <r>
      <t xml:space="preserve">UBICAZIONE: </t>
    </r>
    <r>
      <rPr>
        <sz val="12"/>
        <rFont val="Arial"/>
        <family val="2"/>
      </rPr>
      <t>COMUNE  DI   TERAMO-  VILLA MOSCA</t>
    </r>
  </si>
  <si>
    <r>
      <t xml:space="preserve">NOTE:  </t>
    </r>
    <r>
      <rPr>
        <sz val="12"/>
        <rFont val="Arial"/>
        <family val="2"/>
      </rPr>
      <t>OSPEDALE  CIVILE 1° LOTTO.</t>
    </r>
  </si>
  <si>
    <t xml:space="preserve">Valore di costruzione  (ved. Nota)  </t>
  </si>
  <si>
    <r>
      <t xml:space="preserve">NOTE:  </t>
    </r>
    <r>
      <rPr>
        <sz val="12"/>
        <rFont val="Arial"/>
        <family val="2"/>
      </rPr>
      <t>OSPEDALE  CIVILE 2° LOTTO.</t>
    </r>
  </si>
  <si>
    <t>Superficie catastale</t>
  </si>
  <si>
    <r>
      <t xml:space="preserve">Villa Mosca
</t>
    </r>
    <r>
      <rPr>
        <sz val="8"/>
        <rFont val="Arial"/>
        <family val="2"/>
      </rPr>
      <t>pert.O.C.</t>
    </r>
  </si>
  <si>
    <r>
      <t xml:space="preserve">NOTE:  TERRENI </t>
    </r>
    <r>
      <rPr>
        <sz val="12"/>
        <rFont val="Arial"/>
        <family val="2"/>
      </rPr>
      <t>(di pertinenza all'ospedale civile e edificio Fonte della Noce)</t>
    </r>
  </si>
  <si>
    <t>totale valore acquisto + totale valore costruzione</t>
  </si>
  <si>
    <t>totale valore acquisto  +  totale valore costruzione</t>
  </si>
  <si>
    <t>44 mq.</t>
  </si>
  <si>
    <r>
      <t xml:space="preserve"> 
valore terreni  </t>
    </r>
    <r>
      <rPr>
        <b/>
        <i/>
        <sz val="10"/>
        <rFont val="Arial"/>
        <family val="2"/>
      </rPr>
      <t>(da valore catastale)+</t>
    </r>
    <r>
      <rPr>
        <b/>
        <sz val="11"/>
        <rFont val="Arial"/>
        <family val="2"/>
      </rPr>
      <t xml:space="preserve">valore di acquisto
</t>
    </r>
  </si>
  <si>
    <t>valore costruzione</t>
  </si>
  <si>
    <r>
      <t xml:space="preserve">INTESTAZIONE-TITOLO: </t>
    </r>
    <r>
      <rPr>
        <sz val="12"/>
        <rFont val="Arial"/>
        <family val="2"/>
      </rPr>
      <t xml:space="preserve">COMUNE DI S.OMERO </t>
    </r>
  </si>
  <si>
    <t>mc. 2.400</t>
  </si>
  <si>
    <t>mc. 36046</t>
  </si>
  <si>
    <r>
      <t xml:space="preserve">NOTE:  </t>
    </r>
    <r>
      <rPr>
        <sz val="12"/>
        <rFont val="Arial"/>
        <family val="2"/>
      </rPr>
      <t>SI ATTRIBUISCE VALORE SOLO ALLE  PARTICELLE FG. 55 (loc. casalena) ESCLUDENDO TUTTE LE ALTRE, VISTO CHE LE STESSE SONO PERTINENZIALI AL COMPLESSO OSPEDALIERO 1° E 2° LOTTO IN VILLA MOSCA DI TERAMO</t>
    </r>
  </si>
  <si>
    <t>semibn.arb</t>
  </si>
  <si>
    <t>ente urbano</t>
  </si>
  <si>
    <t>26 22</t>
  </si>
  <si>
    <t>2 80</t>
  </si>
  <si>
    <t>11500 mc</t>
  </si>
  <si>
    <t>7500 mc</t>
  </si>
  <si>
    <t>11400 mc</t>
  </si>
  <si>
    <t>11700 mc</t>
  </si>
  <si>
    <r>
      <t xml:space="preserve">F03
 </t>
    </r>
    <r>
      <rPr>
        <sz val="6"/>
        <rFont val="Arial"/>
        <family val="2"/>
      </rPr>
      <t>in corso di costruzione</t>
    </r>
  </si>
  <si>
    <t xml:space="preserve">11.5 vani </t>
  </si>
  <si>
    <t>c.da S.Atto</t>
  </si>
  <si>
    <t>S.Atto</t>
  </si>
  <si>
    <t>4 70</t>
  </si>
  <si>
    <t>incol.prod</t>
  </si>
  <si>
    <t>3 90</t>
  </si>
  <si>
    <t>3 80</t>
  </si>
  <si>
    <t>relit.strad</t>
  </si>
  <si>
    <t xml:space="preserve">
1228
1233
1236
1238</t>
  </si>
  <si>
    <t>mc. 5101</t>
  </si>
  <si>
    <r>
      <t>NOTE:</t>
    </r>
    <r>
      <rPr>
        <sz val="12"/>
        <rFont val="Arial"/>
        <family val="2"/>
      </rPr>
      <t xml:space="preserve"> </t>
    </r>
  </si>
  <si>
    <r>
      <t xml:space="preserve">INTESTAZIONE-TITOLO: </t>
    </r>
    <r>
      <rPr>
        <sz val="12"/>
        <rFont val="Arial"/>
        <family val="2"/>
      </rPr>
      <t>Fondazione Gualandi</t>
    </r>
  </si>
  <si>
    <t>52 10</t>
  </si>
  <si>
    <t>V.le Gramsci</t>
  </si>
  <si>
    <t>10 70</t>
  </si>
  <si>
    <t>6 60</t>
  </si>
  <si>
    <t>fabb. Rurale</t>
  </si>
  <si>
    <t>2 25</t>
  </si>
  <si>
    <t>0 10</t>
  </si>
  <si>
    <t>1 40</t>
  </si>
  <si>
    <t>1 60</t>
  </si>
  <si>
    <t>0 77</t>
  </si>
  <si>
    <t>mc.   5.205</t>
  </si>
  <si>
    <t>pal.Uff.</t>
  </si>
  <si>
    <t>mc.   2330</t>
  </si>
  <si>
    <t>3 vani</t>
  </si>
  <si>
    <t xml:space="preserve">INTESTAZIONE-TITOLO: Comune di Bisenti </t>
  </si>
  <si>
    <t>mc. 2.557</t>
  </si>
  <si>
    <t xml:space="preserve">Valore di costruzione  (ved. nota)  </t>
  </si>
  <si>
    <t>Nota: Del valore totale pari a Euro 722.282,65:  costo di costruzione Euro 10.810,65  al 31.12.2009.</t>
  </si>
  <si>
    <t xml:space="preserve">Valore di costruzione   (ved. nota)  </t>
  </si>
  <si>
    <t xml:space="preserve">VALORE DI COSTRUZIONE  </t>
  </si>
  <si>
    <t>valore incluso in quello dell'immobile perchè pertinenziali</t>
  </si>
  <si>
    <t>psich.</t>
  </si>
  <si>
    <t>Valore di acquisto e valore di costruzione non incrementati</t>
  </si>
  <si>
    <r>
      <t xml:space="preserve">Il Responsabile dell'U.O.C.
Attività Tecniche e Gestione del Patrimonio
</t>
    </r>
    <r>
      <rPr>
        <b/>
        <i/>
        <sz val="11"/>
        <rFont val="Arial"/>
        <family val="2"/>
      </rPr>
      <t>(ing. Corrado Foglia)</t>
    </r>
  </si>
  <si>
    <r>
      <t xml:space="preserve">INTESTAZIONE - TITOLO : </t>
    </r>
    <r>
      <rPr>
        <sz val="14"/>
        <rFont val="Arial"/>
        <family val="2"/>
      </rPr>
      <t>AZIENDA UNITA' SANITARIA LOCALE - TERAMO</t>
    </r>
  </si>
  <si>
    <r>
      <t>INTESTAZIONE-TITOLO:</t>
    </r>
    <r>
      <rPr>
        <sz val="12"/>
        <rFont val="Arial"/>
        <family val="2"/>
      </rPr>
      <t xml:space="preserve"> AZIENDA SANITARIA LOCALE - TERAMO</t>
    </r>
  </si>
  <si>
    <r>
      <t xml:space="preserve">UBICAZIONE: </t>
    </r>
    <r>
      <rPr>
        <sz val="12"/>
        <rFont val="Arial"/>
        <family val="2"/>
      </rPr>
      <t xml:space="preserve">COMUNE DI COLONNELLA -   STRADA COMUNALE  FOSSO DEL LUPO S.N.C. </t>
    </r>
  </si>
  <si>
    <t xml:space="preserve">VALORE
</t>
  </si>
  <si>
    <r>
      <t xml:space="preserve">INTESTAZIONE - TITOLO : </t>
    </r>
    <r>
      <rPr>
        <sz val="12"/>
        <rFont val="Arial"/>
        <family val="2"/>
      </rPr>
      <t>AZIENDA UNITA' SANITARIA LOCALE - TERAMO</t>
    </r>
  </si>
  <si>
    <r>
      <t xml:space="preserve">INTESTAZIONE - TITOLO : </t>
    </r>
    <r>
      <rPr>
        <sz val="10"/>
        <rFont val="Arial"/>
        <family val="2"/>
      </rPr>
      <t>AZIENDA UNITA' SANITARIA LOCALE - TERAMO</t>
    </r>
  </si>
  <si>
    <t>* 5846,72</t>
  </si>
  <si>
    <t xml:space="preserve">VALORE DI ACQUISTO   (VED NOTA 1)  </t>
  </si>
  <si>
    <t xml:space="preserve">VALORE DI COSTRUZIONE    (VED NOTA 2)           </t>
  </si>
  <si>
    <t>NOTA 1:  TERRENO ACQUISITO CON ATTO DI COMPRAVENDITA  IN DATA 16.10.2003.</t>
  </si>
  <si>
    <r>
      <t xml:space="preserve">INTESTAZIONE-TITOLO: </t>
    </r>
    <r>
      <rPr>
        <sz val="12"/>
        <rFont val="Arial"/>
        <family val="2"/>
      </rPr>
      <t>AZIENDA  UNITA'  SANITARIA LOCALE - TERAMO</t>
    </r>
  </si>
  <si>
    <t>09 00</t>
  </si>
  <si>
    <t xml:space="preserve"> </t>
  </si>
  <si>
    <r>
      <t xml:space="preserve">INTESTAZIONE - TITOLO :  </t>
    </r>
    <r>
      <rPr>
        <sz val="14"/>
        <rFont val="Arial"/>
        <family val="2"/>
      </rPr>
      <t xml:space="preserve">AZIENDA UNITA' SANITARIA LOCALE - TERAMO </t>
    </r>
  </si>
  <si>
    <t>NOTE:  ex CENTRO IPERBARICO</t>
  </si>
  <si>
    <r>
      <t>NOTE:</t>
    </r>
    <r>
      <rPr>
        <sz val="14"/>
        <rFont val="Arial"/>
        <family val="2"/>
      </rPr>
      <t xml:space="preserve"> ex c. Iperbarico </t>
    </r>
  </si>
  <si>
    <r>
      <t xml:space="preserve">INTESTAZIONE - TITOLO : </t>
    </r>
    <r>
      <rPr>
        <sz val="12"/>
        <rFont val="Arial"/>
        <family val="2"/>
      </rPr>
      <t>AMMINISTRAZIONE PROVINCIALE  DI TERAMO.</t>
    </r>
  </si>
  <si>
    <t>VALORE Fabbricati
(immobili di tutte le catgorie c/esclusione di cat. B)</t>
  </si>
  <si>
    <t>VALORE Fabbricati
immobili di cat. B</t>
  </si>
  <si>
    <t>VALORE FABBRICATI
INCREMENTATO DEL 5%</t>
  </si>
  <si>
    <t>VALORE FABBRICATI
INCREMENTATO  DEL 20%
L. 191/04)</t>
  </si>
  <si>
    <t>VALORE FABBRICATI
per immobili di cat. B
INCREMENTATO  DEL 40%
L. n. 286/06</t>
  </si>
  <si>
    <t>VALORE FABBRICATI
immobili di cat. B</t>
  </si>
  <si>
    <t>VALORE FABBRICATI</t>
  </si>
  <si>
    <t>VALORE FABBRICATI
c/ulteriore incremento del 20%
L. 191/04</t>
  </si>
  <si>
    <t>VALORE FABBRICATI
per immobili di cat. B
INCREMENTATO  DEL 40%
L. 286/06</t>
  </si>
  <si>
    <t>VALORE  B</t>
  </si>
  <si>
    <t xml:space="preserve">                                 VALORE  C</t>
  </si>
  <si>
    <t>Totale valore C</t>
  </si>
  <si>
    <t>Il presente  Inventario n. 1  (Beni Indisponibili) si compone di n. 80 (ottanta) pagine - inclusa la presente.</t>
  </si>
  <si>
    <r>
      <t xml:space="preserve">INTESTAZIONE - TITOLO : </t>
    </r>
    <r>
      <rPr>
        <sz val="12"/>
        <rFont val="Arial"/>
        <family val="2"/>
      </rPr>
      <t>AZIENDA  UNITA'  SANITARIA  LOCALE  -  TERAMO</t>
    </r>
  </si>
  <si>
    <t>mc. 56.186</t>
  </si>
  <si>
    <t>S.C. Fosso del Lupo</t>
  </si>
  <si>
    <t>mc. 2558</t>
  </si>
  <si>
    <t xml:space="preserve">CATASTO  URBANO </t>
  </si>
  <si>
    <r>
      <t xml:space="preserve">NOTE: </t>
    </r>
    <r>
      <rPr>
        <sz val="12"/>
        <rFont val="Arial"/>
        <family val="2"/>
      </rPr>
      <t xml:space="preserve">edificio denominato Centro Helios </t>
    </r>
  </si>
  <si>
    <t xml:space="preserve">VALORE DI COSTRUZIONE      </t>
  </si>
  <si>
    <t>30 mq.</t>
  </si>
  <si>
    <t>32 mq.</t>
  </si>
  <si>
    <t>38 mq.</t>
  </si>
  <si>
    <t xml:space="preserve">38 mq. </t>
  </si>
  <si>
    <t>14 mq.</t>
  </si>
  <si>
    <t>Totale</t>
  </si>
  <si>
    <t>TOTALE VALORE  URBANO</t>
  </si>
  <si>
    <r>
      <t xml:space="preserve">valore urbano </t>
    </r>
    <r>
      <rPr>
        <b/>
        <i/>
        <sz val="10"/>
        <rFont val="Arial"/>
        <family val="2"/>
      </rPr>
      <t>(da valore catastale)</t>
    </r>
  </si>
  <si>
    <r>
      <t xml:space="preserve">INTESTAZIONE - TITOLO: </t>
    </r>
    <r>
      <rPr>
        <sz val="12"/>
        <rFont val="Arial"/>
        <family val="2"/>
      </rPr>
      <t>AZIENDA  UNITA'  SANITARIA  LOCALE  - TERAMO</t>
    </r>
  </si>
  <si>
    <t xml:space="preserve"> 
valore terreni c/incremento 25%  +  valore urbano  c/incremento 5%
</t>
  </si>
  <si>
    <r>
      <t xml:space="preserve"> valore terreni c/incremento 25%  +  valore urbano  c/incremento 5% + ulteriore incremento 20% e  </t>
    </r>
    <r>
      <rPr>
        <b/>
        <i/>
        <sz val="10"/>
        <rFont val="Arial"/>
        <family val="2"/>
      </rPr>
      <t>(per soli immobili cat. B)40%</t>
    </r>
    <r>
      <rPr>
        <b/>
        <sz val="11"/>
        <rFont val="Arial"/>
        <family val="2"/>
      </rPr>
      <t xml:space="preserve">
</t>
    </r>
  </si>
  <si>
    <t xml:space="preserve">Valore di costruzione (ved. nota)     </t>
  </si>
  <si>
    <r>
      <t>NOTE:</t>
    </r>
    <r>
      <rPr>
        <sz val="12"/>
        <rFont val="Arial"/>
        <family val="2"/>
      </rPr>
      <t xml:space="preserve"> OSPEDALE CIVILE  -   Pad. EST</t>
    </r>
  </si>
  <si>
    <t>v.le Risorgimento</t>
  </si>
  <si>
    <t>mc. 123.168</t>
  </si>
  <si>
    <r>
      <t>A)</t>
    </r>
    <r>
      <rPr>
        <sz val="14"/>
        <rFont val="Arial"/>
        <family val="2"/>
      </rPr>
      <t xml:space="preserve">  per gli immobili censiti è stato riportata la rendita catastale indicata  nelle visure;
</t>
    </r>
  </si>
  <si>
    <r>
      <t xml:space="preserve">B) </t>
    </r>
    <r>
      <rPr>
        <sz val="14"/>
        <rFont val="Arial"/>
        <family val="2"/>
      </rPr>
      <t xml:space="preserve"> per gli immobili individuati sulle planimetrie e da certificati catastali, ma non censiti, è stata definita la rendita presunta, come da seguente criterio:</t>
    </r>
  </si>
  <si>
    <t xml:space="preserve">     Superficie / Vani / Volume x tariffa riferita al Comune di appartenenza e alla destinazione d'uso.</t>
  </si>
  <si>
    <t>Per la valutazione catastale le relative rendite sono state  moltiplicate per gli indici moltiplicatori delle singole categorie immobiliari (100 / 34 / 50), stabiliti dalla vigente normativa.</t>
  </si>
  <si>
    <t>ULTERIORE  INCREMENTO  DEL 20% E' STATO  DISPOSTO CON LEGGE 191/04, E PER GLI IMMOBILI CLASSIFICATI NELLA CATEGORIA "B" SI E' PASSATI AL 40% (L.286/06)  e s.m.i..</t>
  </si>
  <si>
    <t>VALORE  DI  costruzione  anno 2012</t>
  </si>
  <si>
    <t>RIEPILOGO  GENERALE</t>
  </si>
  <si>
    <t>da pag. 79 a pag. 80</t>
  </si>
  <si>
    <r>
      <t xml:space="preserve">INTESTAZIONE-TITOLO: </t>
    </r>
    <r>
      <rPr>
        <sz val="12"/>
        <rFont val="Arial"/>
        <family val="2"/>
      </rPr>
      <t xml:space="preserve">AZIENDA UNITA' SANITARIA LOCALE  TERAMO - proprietà superficiaria
                                             COMUNE DI CASTILENTI - proprietà per l'area
</t>
    </r>
  </si>
  <si>
    <t>mc. 1.680</t>
  </si>
  <si>
    <t>F02</t>
  </si>
  <si>
    <t xml:space="preserve">3300 mc </t>
  </si>
  <si>
    <r>
      <t>INTESTAZIONE-TITOLO:</t>
    </r>
    <r>
      <rPr>
        <sz val="12"/>
        <rFont val="Arial"/>
        <family val="2"/>
      </rPr>
      <t xml:space="preserve">     AZIENDA UNITA' SANITARIA LOCALE TERAMO - proprietà superficiaria
                                                COMUNE DI ROSETO - proprietà per l'area</t>
    </r>
  </si>
  <si>
    <t>693 mc</t>
  </si>
  <si>
    <r>
      <t xml:space="preserve">F03
</t>
    </r>
    <r>
      <rPr>
        <sz val="6"/>
        <rFont val="Arial"/>
        <family val="2"/>
      </rPr>
      <t xml:space="preserve"> in corso di costruzione</t>
    </r>
  </si>
  <si>
    <r>
      <rPr>
        <sz val="11"/>
        <rFont val="Arial"/>
        <family val="2"/>
      </rPr>
      <t>F03</t>
    </r>
    <r>
      <rPr>
        <sz val="12"/>
        <rFont val="Arial"/>
        <family val="2"/>
      </rPr>
      <t xml:space="preserve">
 </t>
    </r>
    <r>
      <rPr>
        <sz val="6"/>
        <rFont val="Arial"/>
        <family val="2"/>
      </rPr>
      <t>in corso di costruzione</t>
    </r>
  </si>
  <si>
    <t>via Cona 
S.S. 80</t>
  </si>
  <si>
    <t>v.le della Resistenza - 
Edificio  
ex sede scuola materna</t>
  </si>
  <si>
    <r>
      <t xml:space="preserve">NOTE:  </t>
    </r>
    <r>
      <rPr>
        <sz val="12"/>
        <rFont val="Arial"/>
        <family val="2"/>
      </rPr>
      <t>SEDE A.U.S.L.</t>
    </r>
  </si>
  <si>
    <r>
      <t xml:space="preserve">UBICAZIONE: </t>
    </r>
    <r>
      <rPr>
        <sz val="12"/>
        <rFont val="Arial"/>
        <family val="2"/>
      </rPr>
      <t>COMUNE  DI   TERAMO - LOCALITA'  S. ATTO  S.P. 594</t>
    </r>
  </si>
  <si>
    <r>
      <t xml:space="preserve">UBICAZIONE: </t>
    </r>
    <r>
      <rPr>
        <sz val="12"/>
        <rFont val="Arial"/>
        <family val="2"/>
      </rPr>
      <t>COMUNE  DI   TERAMO - LOCALITA'  S. ATTO - S.P. 594</t>
    </r>
  </si>
  <si>
    <t>p.S1-T,1-2,3
ex PMIP</t>
  </si>
  <si>
    <t>p. S1 - T
RSA</t>
  </si>
  <si>
    <t>p. T
opifici</t>
  </si>
  <si>
    <t>p. S1-T
RSA</t>
  </si>
  <si>
    <r>
      <t xml:space="preserve">UBICAZIONE: </t>
    </r>
    <r>
      <rPr>
        <sz val="12"/>
        <rFont val="Arial"/>
        <family val="2"/>
      </rPr>
      <t>COMUNE DI MONTORIO AL VOMANO  - via Quirino Celli</t>
    </r>
  </si>
  <si>
    <r>
      <t xml:space="preserve">UBICAZIONE: </t>
    </r>
    <r>
      <rPr>
        <sz val="12"/>
        <rFont val="Arial"/>
        <family val="2"/>
      </rPr>
      <t>COMUNE DI ATRI - VIA COLLE MARALTO N. 1</t>
    </r>
  </si>
  <si>
    <r>
      <t xml:space="preserve">UBICAZIONE: </t>
    </r>
    <r>
      <rPr>
        <sz val="12"/>
        <rFont val="Arial"/>
        <family val="2"/>
      </rPr>
      <t>BISENTI - via Roma</t>
    </r>
  </si>
  <si>
    <r>
      <t>UBICAZIONE:</t>
    </r>
    <r>
      <rPr>
        <sz val="12"/>
        <rFont val="Arial"/>
        <family val="2"/>
      </rPr>
      <t xml:space="preserve"> COMUNE DI CASTIGLIONE MESSER RAIMONDO - CONTRADA SAN SALVATORE - S.S. 365</t>
    </r>
  </si>
  <si>
    <r>
      <t xml:space="preserve">UBICAZIONE: </t>
    </r>
    <r>
      <rPr>
        <sz val="12"/>
        <rFont val="Arial"/>
        <family val="2"/>
      </rPr>
      <t>COMUNE DI CASTILENTI C.DA S. MICHELE  - via del Melograno n. 10</t>
    </r>
  </si>
  <si>
    <r>
      <t xml:space="preserve">UBICAZIONE: </t>
    </r>
    <r>
      <rPr>
        <sz val="12"/>
        <rFont val="Arial"/>
        <family val="2"/>
      </rPr>
      <t>COMUNE DI CELLINO ATTANASIO - via Taraschi n. 16</t>
    </r>
  </si>
  <si>
    <r>
      <t xml:space="preserve">UBICAZIONE: </t>
    </r>
    <r>
      <rPr>
        <sz val="12"/>
        <rFont val="Arial"/>
        <family val="2"/>
      </rPr>
      <t>COMUNE DI CERMIGNANO - via Nazionale 18</t>
    </r>
  </si>
  <si>
    <r>
      <t xml:space="preserve">UBICAZIONE: </t>
    </r>
    <r>
      <rPr>
        <sz val="12"/>
        <rFont val="Arial"/>
        <family val="2"/>
      </rPr>
      <t>COMUNE DI NOTARESCO - via Dante Alighieri n. 13</t>
    </r>
  </si>
  <si>
    <r>
      <t>INTESTAZIONE-TITOLO:</t>
    </r>
    <r>
      <rPr>
        <sz val="12"/>
        <rFont val="Arial"/>
        <family val="2"/>
      </rPr>
      <t xml:space="preserve"> AZIENDA UNITA' SANITARIA LOCALE TERAMO -   PRIVATI
                                                   </t>
    </r>
  </si>
  <si>
    <r>
      <t xml:space="preserve">UBICAZIONE: </t>
    </r>
    <r>
      <rPr>
        <sz val="12"/>
        <rFont val="Arial"/>
        <family val="2"/>
      </rPr>
      <t>COMUNE DI  MOSCIANO S.ANGELO - VIA XXV APRILE N. 19</t>
    </r>
  </si>
  <si>
    <t xml:space="preserve">1534
</t>
  </si>
  <si>
    <t xml:space="preserve">1536
</t>
  </si>
  <si>
    <t xml:space="preserve">
1540</t>
  </si>
  <si>
    <r>
      <t xml:space="preserve">NOTE:  </t>
    </r>
    <r>
      <rPr>
        <sz val="14"/>
        <rFont val="Arial"/>
        <family val="2"/>
      </rPr>
      <t xml:space="preserve">EDIFICIO ADIBITO A POLIAMBULATORIO </t>
    </r>
  </si>
  <si>
    <r>
      <t xml:space="preserve">UBICAZIONE: </t>
    </r>
    <r>
      <rPr>
        <sz val="12"/>
        <rFont val="Arial"/>
        <family val="2"/>
      </rPr>
      <t>COMUNE  DI   SANT'EGIDIO ALLA VIBRATA -  strada provinciale 14</t>
    </r>
  </si>
  <si>
    <r>
      <t xml:space="preserve">UBICAZIONE: </t>
    </r>
    <r>
      <rPr>
        <sz val="12"/>
        <rFont val="Arial"/>
        <family val="2"/>
      </rPr>
      <t>COMUNE  DI   TORTORETO - VIA ISONZO 49/51</t>
    </r>
  </si>
  <si>
    <t>VALORE  (di costruzione)</t>
  </si>
  <si>
    <t>VALORE  TOTALE  (di costruzione)</t>
  </si>
  <si>
    <r>
      <t xml:space="preserve">UBICAZIONE: </t>
    </r>
    <r>
      <rPr>
        <sz val="12"/>
        <rFont val="Arial"/>
        <family val="2"/>
      </rPr>
      <t>COMUNE DI SANT' OMERO - VIA ALLA SALARA</t>
    </r>
  </si>
  <si>
    <r>
      <t xml:space="preserve">valore di costruzione  </t>
    </r>
    <r>
      <rPr>
        <sz val="8"/>
        <rFont val="Arial"/>
        <family val="2"/>
      </rPr>
      <t>nel 2012</t>
    </r>
  </si>
  <si>
    <r>
      <t xml:space="preserve">valore di costruzione </t>
    </r>
    <r>
      <rPr>
        <sz val="10"/>
        <rFont val="Arial"/>
        <family val="2"/>
      </rPr>
      <t>nel 2013</t>
    </r>
  </si>
  <si>
    <r>
      <t xml:space="preserve">valore di costruzione </t>
    </r>
    <r>
      <rPr>
        <sz val="8"/>
        <rFont val="Arial"/>
        <family val="2"/>
      </rPr>
      <t>al 2012</t>
    </r>
  </si>
  <si>
    <t xml:space="preserve">                                                 REGIONE  ABRUZZO 
              AZIENDA   UNITA'  SANITARIA  LOCALE  4  -  TERAMO
                                          *********************</t>
  </si>
  <si>
    <t>valore urbano + v. costruzione</t>
  </si>
  <si>
    <t>Totale v. terreni+ v. urbano + v. costruzione</t>
  </si>
  <si>
    <t>m.c.   856</t>
  </si>
  <si>
    <t xml:space="preserve">VALORE DI COSTRUZIONE     </t>
  </si>
  <si>
    <t>valore stima  immobile ex sanatorio</t>
  </si>
  <si>
    <r>
      <t xml:space="preserve">NOTE: </t>
    </r>
    <r>
      <rPr>
        <sz val="12"/>
        <rFont val="Arial"/>
        <family val="2"/>
      </rPr>
      <t xml:space="preserve">TERRENO CON SOVRASTANTE DISTRETTO SANITARIO DI BASE </t>
    </r>
  </si>
  <si>
    <r>
      <t xml:space="preserve">IL DIRETTORE  GENERALE
</t>
    </r>
    <r>
      <rPr>
        <b/>
        <i/>
        <sz val="11"/>
        <rFont val="Arial"/>
        <family val="2"/>
      </rPr>
      <t xml:space="preserve">(Avv. Roberto Fagnano) </t>
    </r>
    <r>
      <rPr>
        <b/>
        <sz val="11"/>
        <rFont val="Arial"/>
        <family val="2"/>
      </rPr>
      <t xml:space="preserve">  </t>
    </r>
  </si>
  <si>
    <t>1124
1125
1126
1273
1680
1765</t>
  </si>
  <si>
    <t>mc. 3.588</t>
  </si>
  <si>
    <r>
      <t xml:space="preserve">UBICAZIONE: </t>
    </r>
    <r>
      <rPr>
        <sz val="12"/>
        <rFont val="Arial"/>
        <family val="2"/>
      </rPr>
      <t>COMUNE  DI   TERAMO   -  VIA CONA</t>
    </r>
  </si>
  <si>
    <r>
      <t xml:space="preserve">UBICAZIONE: </t>
    </r>
    <r>
      <rPr>
        <sz val="12"/>
        <rFont val="Arial"/>
        <family val="2"/>
      </rPr>
      <t>COMUNE  DI   TERAMO -  VIA CONA</t>
    </r>
  </si>
  <si>
    <r>
      <t xml:space="preserve">INTESTAZIONE-TITOLO: </t>
    </r>
    <r>
      <rPr>
        <sz val="12"/>
        <rFont val="Arial"/>
        <family val="2"/>
      </rPr>
      <t>AZIENDA UNITA' SANITARIA LOCALE TERAMO</t>
    </r>
  </si>
  <si>
    <r>
      <t xml:space="preserve">UBICAZIONE: </t>
    </r>
    <r>
      <rPr>
        <sz val="12"/>
        <rFont val="Arial"/>
        <family val="2"/>
      </rPr>
      <t>COMUNE DI NERETO - VIA LENIN , 50 angolo VIA MARCO IACHINI</t>
    </r>
  </si>
  <si>
    <t>Nota: del valore di costruzione:  €  17.632,80 sono rappresentate da costi, oneri vari inclusi, sostenuti al  31.12.2008.</t>
  </si>
  <si>
    <t>Nota: Del valoredi costruzione:  €  32.950,80 per spese sostenute  al 31.12.09; € 9.600,00 al 31.12.2010.</t>
  </si>
  <si>
    <t xml:space="preserve">NOTA 2: Del valore di costruzione:
A)  euro 1.381.717,52 sono rappresentate dai costi, oneri vari inclusi, sostenuti al 31.12.2005 per i lavori di adeguamento Ospedale Atri e Sale Operatorie  e varie - ex art. 20 L. 67/68;
B)  €  2.459.536,27, oneri vari inclusi, sono rappresentati dai costi sostenuti per lavori straordinari c/o Ospedale Atri (Utic, Farmacia, Pronto Soccorso, Medicina, Endoscopia, Nefrologia, lav. straord. vari) al 31.12.2006.
</t>
  </si>
  <si>
    <t>Nota: del valoredi  costruzione:  Euro 369.658,23 sono rappresentate da costi, oneri vari inclusi, sostenuti al  31.12.2005 per i lavori di ristrutturazione DSB Montorio al Vomano - ex art. 20 L. 67/88; euro 224.503,53 al 31.12.2011 per Utap; euro 83.654,48 al 31.12.12.</t>
  </si>
  <si>
    <t>Nota: del valore di costruzione: € 65.883,92 al 31.12.12; € 165.150,60 al 31.12.13.</t>
  </si>
  <si>
    <t>NOTA: Il valore di costruzione pari ad Euro 463.420,19 , oneri vari inclusi, corrisponde ai costi sostenuti per lavori di adeguamento edificio in Via Fonte della Noce al 31.12.2005 e € 6.638,88 al 31.12.13.</t>
  </si>
  <si>
    <t>Nota: del valoredi costruzione: € 187.362,62  al 31.12.15.</t>
  </si>
  <si>
    <t>Nota: del valore  di costruzione: € 322.408,37 rappresentato dalla somma dei costi, oneri vari inclusi, sostenuti  al 31.12.2005 per i lavori di realizzazione del Distretto Sanitario di Base in  MOSCIANO S.ANGELO - ex art. 20 L. 67/88; € 27.770,31 al 31.12.13; € 2.939,17 al 31.12.14.</t>
  </si>
  <si>
    <t>Nota: del valore di costruzione: €  531.564,42 lavori ex art. 20 L.67/88; €   94.759,88  al 31.12.2010 per  fotovoltaico; € 92.984,49 al 31.12.15.</t>
  </si>
  <si>
    <t>Aggiornamento catastale Osp.: Fg. 69, part.606/4 soppressa e diventa sub 7 con valori inalterati; Fg. 69, part. 606/6 soppressa e diventa sub 8: Z.C. U; Cat. C/1; Cons. mc 70; Sup. cat. mq 86; Rendita € 918,26.</t>
  </si>
  <si>
    <r>
      <t xml:space="preserve">INTESTAZIONE-TITOLO: </t>
    </r>
    <r>
      <rPr>
        <sz val="12"/>
        <rFont val="Arial"/>
        <family val="2"/>
      </rPr>
      <t xml:space="preserve"> Azienda Unità sanitaria Locale - Teramo</t>
    </r>
  </si>
  <si>
    <r>
      <t xml:space="preserve">INTESTAZIONE-TITOLO: </t>
    </r>
    <r>
      <rPr>
        <sz val="12"/>
        <rFont val="Arial"/>
        <family val="2"/>
      </rPr>
      <t>Azienda Unità sanitaria Locale -Teramo</t>
    </r>
  </si>
  <si>
    <r>
      <t xml:space="preserve">INTESTAZIONE-TITOLO: </t>
    </r>
    <r>
      <rPr>
        <sz val="12"/>
        <rFont val="Arial"/>
        <family val="2"/>
      </rPr>
      <t>Azienda Unità Sanitaria Locale - Teramo</t>
    </r>
  </si>
  <si>
    <t>Aggiornato  al  31 dicembre 2016</t>
  </si>
  <si>
    <t>86 mq</t>
  </si>
  <si>
    <t>Nota: il valore di costruzione: € 336.377,67 somma dei costi, oneri vari inclusi, sostenuti  al 31.12.2005 per i lavori di realizzazione del Distretto sanitario di base in Roseto - ex art. 20 L. 67/88; € 52.308,15 per raffrescamento al 31.12.09; € 6.204,02 al 31.12.2011.</t>
  </si>
  <si>
    <t>valore incluso in quello del complesso ospedaliero</t>
  </si>
  <si>
    <t>6,06</t>
  </si>
  <si>
    <t>0,39</t>
  </si>
  <si>
    <t>13,07</t>
  </si>
  <si>
    <t>0,01</t>
  </si>
  <si>
    <t>16,62</t>
  </si>
  <si>
    <t>2,43</t>
  </si>
  <si>
    <t>4,72</t>
  </si>
  <si>
    <t>6,64</t>
  </si>
  <si>
    <t>5,82</t>
  </si>
  <si>
    <t>1,54</t>
  </si>
  <si>
    <t>5,62</t>
  </si>
  <si>
    <t>4.36</t>
  </si>
  <si>
    <t>Nota: del valore di costruzione € 571.148,83 per lavori al 31.12.2012; € 1.993.665,87 per lavori al 31.12.13; 
 € 540.491,04 per lavori al 31.12.14;  € 266.340,65 per lavori al 31.12.15; € 66.583,70 al 31.12.16.</t>
  </si>
  <si>
    <t>Nota: Del  valore di costruzione € 460.519,42  al 31.12.2007;  € 195.332,46 al 31.12.200; € 19.566,83al 31.12.2009; € 17.043,83 al 31.12.2010; €  176.359,59 al 31.12.2011; €  221.078,93 al 31.12.12; € 116.613,37 al 31.12.13; € 16.100,45 al 31.12.14;  € 137.229,65 al 31.12.15; € 254.547,19 al 31.12.16.</t>
  </si>
  <si>
    <t>Nota: Del valore di costruzione: €  249.688,90, oneri vari inclusi, sono rappresentati dai costi sostenuti per lavori straordinari c/o  edificio in Via Cesare Battisti al 31.12.2004; € 6.888,00 al 31.12.2011; €  6.921,20 al 31.12.12; € 4.628,25 al 31.12.14; € 64.286,53 al 31.12.15; € 12.200,00 al 31.12.16.</t>
  </si>
  <si>
    <t>Nota: Del valore di costruzione:  €  94.001,77, oneri vari inclusi, sono rappresentati dai costi sostenuti per lavori straordinari  al 31.12.2008; € 46,616,05 al 31.12.09; € 168.566,23 al 31.12.10; € 19.256,04 al 31.12.2011; € 86.162, 47 al 31.12.12; € 227.197,42 al 31.12.13; € 20.240,00 al 31.12.15; € 12.319,56 al 31.12.16.</t>
  </si>
  <si>
    <r>
      <t xml:space="preserve">NOTA: </t>
    </r>
    <r>
      <rPr>
        <sz val="12"/>
        <rFont val="Arial"/>
        <family val="2"/>
      </rPr>
      <t>del valore di costruzione: € 2.712.141,14 al 2011; € 168.553,92 per lavori anno 2013; € 5.390,00 al 31.12.16.</t>
    </r>
  </si>
  <si>
    <t>Nota: del valoredi costruzione: €  597.509,30 sono rappresentate da costi, oneri vari inclusi, sostenuti  dal  1.1.06 al  31.12.2006 per i lavori di ristrutturazione dell'edificio in questione;  €  145.071,20 al 31.12.2007; €  3.679,52 al 31.12.09; € 102.256,00 al 31.12.15; € 127.013,77 al 31.12.16.</t>
  </si>
  <si>
    <r>
      <t xml:space="preserve">Nota: </t>
    </r>
    <r>
      <rPr>
        <sz val="12"/>
        <rFont val="Arial"/>
        <family val="2"/>
      </rPr>
      <t>Del valore di costruzione: €   562.290,07 sono rappresentate dai costi, oneri vari inclusi, sostenuti al 31.12.2006 per i lavori di ristrutturazione Pad. Ovest - Ospedale Giulianova - ex art. 20 L. 67/88 + lav. straord. su elevatori; €  193.756,67 al 31.12.2007; € 38.600,96 al 31.12.09 per psich.; €  160.490,00 al 31.12.2011; €  51.451,19 al 31.12.12; € 178.880,97 al 31.12.2013; € 252.479,99 al 31.12.14; € 60.779,76 al 31.12.15; € 162.570,56 al 31.12.16.</t>
    </r>
  </si>
  <si>
    <t>Nota: Del valore  di costruzione; € 246.502,30 somma dei costi, oneri vari inclusi, sostenuti   per i lavori straord. al 31.12.2009; € 108.257,65 al 31.12.2011; € 423.803,69 al 31.12.12; € 252.423,89 al 31.12.13; € 486.516,50 al 31.12.15; € 57.665,40 AL 31.12.16.</t>
  </si>
  <si>
    <r>
      <t xml:space="preserve">valore di costruzione </t>
    </r>
    <r>
      <rPr>
        <sz val="10"/>
        <rFont val="Arial"/>
        <family val="2"/>
      </rPr>
      <t>nel 2016</t>
    </r>
  </si>
  <si>
    <t>Nota:del valore di costruzione:  €  10.235.827,38 costi lav. Straord., oneri vari inclusi, sostenuti al 31.12.2007; €  647.645,09 al 31.12.2008; €  1.088.931,28 al 31.12.2009; €  1.820.206,23 al 31.12.2010; €  1.138.191,49 al 31.12.2011; €  39.328,52 al 31.12.12; € 338.239,76 al 31.12.13;     €  1.938.043,98 al 31.12.14; e 2.776.346,47 al 31.12.15; € 2.999.797,97 al 31.12.16.</t>
  </si>
  <si>
    <t>Nota: Del valore di costruzione: €  57.236,85 sono rappresentati dai costi, oneri vari inclusi, sostenuti al 31.12.2007 per i lavori di ristrutturazione; € 12.419,20 al 31.12.12; € 854,00 al 31.12.14; € 3.999,00 al 31.12.16.</t>
  </si>
  <si>
    <r>
      <t xml:space="preserve">Nota: </t>
    </r>
    <r>
      <rPr>
        <sz val="12"/>
        <rFont val="Arial"/>
        <family val="2"/>
      </rPr>
      <t>: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Euro  583.091,62 sono rappresentate dai costi, oneri vari inclusi, ex art. 20 L.67/88 al 2010; euro 221.861,93 al 31.12.2011; € 5.892,86 al 31.12.14; € 3531,66 al 31.12.15; € 1.742,16 AL 31.12.16.</t>
    </r>
  </si>
  <si>
    <t>bene comune non censibile</t>
  </si>
  <si>
    <t>mc  1750</t>
  </si>
  <si>
    <t>mc  8.550</t>
  </si>
  <si>
    <t>mc  243</t>
  </si>
  <si>
    <t>mc 1350</t>
  </si>
  <si>
    <t>20 40</t>
  </si>
  <si>
    <t>VALORE DI COSTRUZIONE  sub 9 (al 31.12.2016)</t>
  </si>
  <si>
    <t>F/1</t>
  </si>
  <si>
    <t>mq 169</t>
  </si>
  <si>
    <t>mq  253</t>
  </si>
  <si>
    <t>mc 126.229</t>
  </si>
  <si>
    <t>mc 4100</t>
  </si>
  <si>
    <t>MC 10.719</t>
  </si>
  <si>
    <t>A/3</t>
  </si>
  <si>
    <t>mq  138</t>
  </si>
  <si>
    <t>mq 128</t>
  </si>
  <si>
    <t>mq 159</t>
  </si>
  <si>
    <t>mq 108</t>
  </si>
  <si>
    <r>
      <t>UBICAZIONE:</t>
    </r>
    <r>
      <rPr>
        <sz val="12"/>
        <rFont val="Arial"/>
        <family val="2"/>
      </rPr>
      <t xml:space="preserve"> COMUNE DI GIULIANOVA VIA OSPIZIO MARINO snc - lungomare Zara</t>
    </r>
  </si>
  <si>
    <t>corpo centrale</t>
  </si>
  <si>
    <t>palazzina civile abitazione</t>
  </si>
  <si>
    <t>pal.indisuso</t>
  </si>
  <si>
    <t>51 11</t>
  </si>
  <si>
    <t>20 70</t>
  </si>
  <si>
    <t>46 75</t>
  </si>
  <si>
    <t>18 50</t>
  </si>
  <si>
    <t>mc 58248</t>
  </si>
  <si>
    <r>
      <t xml:space="preserve">UBICAZIONE: </t>
    </r>
    <r>
      <rPr>
        <sz val="12"/>
        <rFont val="Arial"/>
        <family val="2"/>
      </rPr>
      <t>COMUNE DI  SANT'OMERO - VIA alla SALARA</t>
    </r>
  </si>
  <si>
    <t xml:space="preserve">Via alla Salara snc
piano S1 - T - 1 - 2 </t>
  </si>
  <si>
    <t>mc 17.603</t>
  </si>
  <si>
    <r>
      <t>INTESTAZIONE-TITOLO:</t>
    </r>
    <r>
      <rPr>
        <sz val="12"/>
        <rFont val="Arial"/>
        <family val="2"/>
      </rPr>
      <t xml:space="preserve"> COMUNE SANT'OMERO</t>
    </r>
  </si>
  <si>
    <r>
      <t xml:space="preserve">NOTE: </t>
    </r>
    <r>
      <rPr>
        <sz val="12"/>
        <rFont val="Arial"/>
        <family val="2"/>
      </rPr>
      <t>EDIFICIO  uff.amm.vi</t>
    </r>
  </si>
  <si>
    <t xml:space="preserve"> C) € 479.476,59 lavori vari al 31.12.2007; € 1.037.598,17 lavori vari al 31.12.2008; € 947.192,43 al 31.12.2009; € 749.148,32 lavori vari al 31.12.2010; € 84.144,43 al 31.12.2011; €  129.340,14 al 31.12.12;  € 224.102,89 al 31.12.13; € 69.839,00 al 31.12.14; € 76.548,00 al 31.12.15; € 182.848,31 al 31.12.16.</t>
  </si>
  <si>
    <t>Nota: Del valore totale: € 2.073.419,27 sono rappresentate dai costi, oneri vari inclusi, sostenuti al 31/12/2007 per i lavori Pad. Est Ospedale Giulianova - realizzazione nuovo Pronto Soccorso - e S.O.ex art. 20 L. 67/88; per altri lavori €  429.964,52 al 31.12.2008; € 216.656,00 al 31.12.09; €  7.206,23 al 31.12.2010; €  305.177,40 al 31.12.2011;€  382.869,60 al 31.12.12; € 32.259,00 al 31.12.2013; € 150.501,33  al 31.12.14; € 177.822,80 al 31.12.15; € 185.200,28 al 31.12.16.</t>
  </si>
  <si>
    <r>
      <t xml:space="preserve">VALORE  TOTALE </t>
    </r>
    <r>
      <rPr>
        <b/>
        <sz val="8"/>
        <rFont val="Arial"/>
        <family val="2"/>
      </rPr>
      <t xml:space="preserve">(escluso valore part.1408/10 e 12)  </t>
    </r>
  </si>
  <si>
    <t>c. nutriz.</t>
  </si>
  <si>
    <t>mc 1435</t>
  </si>
  <si>
    <t>* Euro 1.852,79</t>
  </si>
  <si>
    <t xml:space="preserve">mc 900 </t>
  </si>
  <si>
    <t>* Euro 1.162,03</t>
  </si>
  <si>
    <t>NOTA: Del valore di costruzione: € 9.799,22 al 31.12.09; € 2.100.168,81 al 31.12.11; € 68.249,02 per lavori al 31.12.12; € 72.352,35 al 31.12.13; € 42.134,40 al 31.12.15; € 1.944,50  al 31.12.16. oltre € 838.325,90 costo costruzione sub 9.</t>
  </si>
  <si>
    <t>Nota: Del valore di costruzione:  € 668.515,40 sono rappresentati dai costi, oneri vari inclusi, sostenuti al 31.12.2005 per i lavori di realizzazione n. 2 sale Emodinamica (escluso forniture) presso  Ospedale Villa Mosca - 2° lotto; altri lavori €  8.760,00 al 31.12.2007; €  12.600,00 al 31.12.09; €  175.631,98 al 31.12.10; €  63.606,20 al 31.12.2011; € 179.009,01 al 31.12.14; € 32.223,40  al 31.12.15; € 353.318,72,00 al 31.12.16.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</si>
</sst>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;[Red]#,##0"/>
    <numFmt numFmtId="179" formatCode="0.0"/>
    <numFmt numFmtId="180" formatCode="&quot;€&quot;\ #,##0.00;[Red]&quot;€&quot;\ #,##0.00"/>
    <numFmt numFmtId="181" formatCode="#,##0.00;[Red]#,##0.00"/>
    <numFmt numFmtId="182" formatCode="&quot;€&quot;\ #,##0;[Red]&quot;€&quot;\ #,##0"/>
    <numFmt numFmtId="183" formatCode="0.00;[Red]0.0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_-[$€-2]\ * #,##0.00_-;\-[$€-2]\ * #,##0.00_-;_-[$€-2]\ * &quot;-&quot;??_-"/>
    <numFmt numFmtId="188" formatCode="[$€-2]\ #,##0.00;\-[$€-2]\ #,##0.00"/>
    <numFmt numFmtId="189" formatCode="[$€-2]\ #,##0.00;[Red][$€-2]\ #,##0.00"/>
    <numFmt numFmtId="190" formatCode="[$€-2]\ #,##0;[Red][$€-2]\ #,##0"/>
    <numFmt numFmtId="191" formatCode="_-[$€-2]\ * #,##0.00_-;\-[$€-2]\ * #,##0.00_-;_-[$€-2]\ * &quot;-&quot;??_-;_-@_-"/>
  </numFmts>
  <fonts count="7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i/>
      <sz val="16"/>
      <name val="Monotype Corsiva"/>
      <family val="4"/>
    </font>
    <font>
      <b/>
      <sz val="40"/>
      <name val="Marigold"/>
      <family val="4"/>
    </font>
    <font>
      <sz val="11"/>
      <name val="Arial"/>
      <family val="2"/>
    </font>
    <font>
      <b/>
      <i/>
      <sz val="8"/>
      <name val="Monotype Corsiva"/>
      <family val="4"/>
    </font>
    <font>
      <sz val="8"/>
      <name val="Arial"/>
      <family val="2"/>
    </font>
    <font>
      <b/>
      <sz val="11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b/>
      <i/>
      <sz val="10"/>
      <name val="Monotype Corsiva"/>
      <family val="4"/>
    </font>
    <font>
      <sz val="24"/>
      <name val="Arial"/>
      <family val="2"/>
    </font>
    <font>
      <b/>
      <sz val="18"/>
      <name val="ITC Bookman Light"/>
      <family val="1"/>
    </font>
    <font>
      <b/>
      <sz val="26"/>
      <name val="Arial"/>
      <family val="2"/>
    </font>
    <font>
      <b/>
      <sz val="28"/>
      <name val="Batang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i/>
      <sz val="16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22"/>
      <name val="Arial"/>
      <family val="2"/>
    </font>
    <font>
      <sz val="36"/>
      <name val="Georgia"/>
      <family val="1"/>
    </font>
    <font>
      <sz val="35"/>
      <name val="Georgia"/>
      <family val="1"/>
    </font>
    <font>
      <b/>
      <sz val="20"/>
      <name val="Georgia"/>
      <family val="1"/>
    </font>
    <font>
      <i/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slantDashDot">
        <color theme="4"/>
      </left>
      <right>
        <color indexed="63"/>
      </right>
      <top style="slantDashDot">
        <color theme="4"/>
      </top>
      <bottom style="slantDashDot">
        <color theme="4"/>
      </bottom>
    </border>
    <border>
      <left>
        <color indexed="63"/>
      </left>
      <right>
        <color indexed="63"/>
      </right>
      <top style="slantDashDot">
        <color theme="4"/>
      </top>
      <bottom style="slantDashDot">
        <color theme="4"/>
      </bottom>
    </border>
    <border>
      <left>
        <color indexed="63"/>
      </left>
      <right style="slantDashDot">
        <color theme="4"/>
      </right>
      <top style="slantDashDot">
        <color theme="4"/>
      </top>
      <bottom style="slantDashDot">
        <color theme="4"/>
      </bottom>
    </border>
    <border>
      <left style="slantDashDot"/>
      <right>
        <color indexed="63"/>
      </right>
      <top style="slantDashDot"/>
      <bottom style="slantDashDot"/>
    </border>
    <border>
      <left>
        <color indexed="63"/>
      </left>
      <right>
        <color indexed="63"/>
      </right>
      <top style="slantDashDot"/>
      <bottom style="slantDashDot"/>
    </border>
    <border>
      <left>
        <color indexed="63"/>
      </left>
      <right style="slantDashDot"/>
      <top style="slantDashDot"/>
      <bottom style="slantDashDot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0" borderId="2" applyNumberFormat="0" applyFill="0" applyAlignment="0" applyProtection="0"/>
    <xf numFmtId="0" fontId="62" fillId="21" borderId="3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187" fontId="0" fillId="0" borderId="0" applyFont="0" applyFill="0" applyBorder="0" applyAlignment="0" applyProtection="0"/>
    <xf numFmtId="0" fontId="6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29" borderId="0" applyNumberFormat="0" applyBorder="0" applyAlignment="0" applyProtection="0"/>
    <xf numFmtId="0" fontId="0" fillId="30" borderId="4" applyNumberFormat="0" applyFont="0" applyAlignment="0" applyProtection="0"/>
    <xf numFmtId="0" fontId="65" fillId="20" borderId="5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31" borderId="0" applyNumberFormat="0" applyBorder="0" applyAlignment="0" applyProtection="0"/>
    <xf numFmtId="0" fontId="74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6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170" fontId="3" fillId="0" borderId="0" xfId="0" applyNumberFormat="1" applyFont="1" applyBorder="1" applyAlignment="1">
      <alignment/>
    </xf>
    <xf numFmtId="170" fontId="7" fillId="0" borderId="0" xfId="0" applyNumberFormat="1" applyFont="1" applyAlignment="1">
      <alignment horizontal="center" vertical="center" wrapText="1"/>
    </xf>
    <xf numFmtId="170" fontId="0" fillId="0" borderId="0" xfId="0" applyNumberFormat="1" applyAlignment="1">
      <alignment/>
    </xf>
    <xf numFmtId="170" fontId="3" fillId="0" borderId="10" xfId="0" applyNumberFormat="1" applyFont="1" applyBorder="1" applyAlignment="1">
      <alignment horizontal="right"/>
    </xf>
    <xf numFmtId="170" fontId="3" fillId="0" borderId="10" xfId="0" applyNumberFormat="1" applyFont="1" applyBorder="1" applyAlignment="1">
      <alignment/>
    </xf>
    <xf numFmtId="170" fontId="4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169" fontId="7" fillId="0" borderId="0" xfId="0" applyNumberFormat="1" applyFont="1" applyAlignment="1">
      <alignment horizontal="center" vertical="center" wrapText="1"/>
    </xf>
    <xf numFmtId="169" fontId="0" fillId="0" borderId="0" xfId="0" applyNumberFormat="1" applyAlignment="1">
      <alignment/>
    </xf>
    <xf numFmtId="169" fontId="4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right" vertical="top"/>
    </xf>
    <xf numFmtId="170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0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right" wrapText="1"/>
    </xf>
    <xf numFmtId="170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horizontal="right" vertical="top"/>
    </xf>
    <xf numFmtId="0" fontId="3" fillId="0" borderId="0" xfId="0" applyFont="1" applyAlignment="1">
      <alignment horizontal="center"/>
    </xf>
    <xf numFmtId="169" fontId="3" fillId="0" borderId="0" xfId="0" applyNumberFormat="1" applyFont="1" applyAlignment="1">
      <alignment/>
    </xf>
    <xf numFmtId="0" fontId="3" fillId="0" borderId="0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3" fontId="2" fillId="0" borderId="12" xfId="0" applyNumberFormat="1" applyFont="1" applyBorder="1" applyAlignment="1">
      <alignment/>
    </xf>
    <xf numFmtId="170" fontId="3" fillId="0" borderId="10" xfId="0" applyNumberFormat="1" applyFont="1" applyBorder="1" applyAlignment="1">
      <alignment horizontal="right" wrapText="1"/>
    </xf>
    <xf numFmtId="170" fontId="2" fillId="0" borderId="10" xfId="0" applyNumberFormat="1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3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170" fontId="14" fillId="0" borderId="0" xfId="0" applyNumberFormat="1" applyFont="1" applyBorder="1" applyAlignment="1">
      <alignment horizontal="center"/>
    </xf>
    <xf numFmtId="0" fontId="0" fillId="0" borderId="0" xfId="0" applyAlignment="1">
      <alignment vertical="top"/>
    </xf>
    <xf numFmtId="0" fontId="4" fillId="0" borderId="0" xfId="0" applyFont="1" applyAlignment="1">
      <alignment vertical="top" wrapText="1"/>
    </xf>
    <xf numFmtId="170" fontId="4" fillId="0" borderId="0" xfId="0" applyNumberFormat="1" applyFont="1" applyAlignment="1">
      <alignment vertical="top" wrapText="1"/>
    </xf>
    <xf numFmtId="170" fontId="5" fillId="0" borderId="0" xfId="0" applyNumberFormat="1" applyFont="1" applyAlignment="1">
      <alignment/>
    </xf>
    <xf numFmtId="169" fontId="15" fillId="0" borderId="0" xfId="0" applyNumberFormat="1" applyFont="1" applyAlignment="1">
      <alignment horizontal="center" vertical="center" wrapText="1"/>
    </xf>
    <xf numFmtId="169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69" fontId="0" fillId="0" borderId="1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170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170" fontId="1" fillId="0" borderId="0" xfId="0" applyNumberFormat="1" applyFont="1" applyBorder="1" applyAlignment="1">
      <alignment horizontal="center"/>
    </xf>
    <xf numFmtId="170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170" fontId="0" fillId="0" borderId="0" xfId="0" applyNumberFormat="1" applyFont="1" applyAlignment="1">
      <alignment vertical="top" wrapText="1"/>
    </xf>
    <xf numFmtId="170" fontId="1" fillId="0" borderId="0" xfId="0" applyNumberFormat="1" applyFont="1" applyAlignment="1">
      <alignment/>
    </xf>
    <xf numFmtId="170" fontId="0" fillId="0" borderId="10" xfId="0" applyNumberFormat="1" applyFont="1" applyBorder="1" applyAlignment="1">
      <alignment horizontal="right"/>
    </xf>
    <xf numFmtId="170" fontId="0" fillId="0" borderId="10" xfId="0" applyNumberFormat="1" applyFont="1" applyBorder="1" applyAlignment="1">
      <alignment vertical="center"/>
    </xf>
    <xf numFmtId="170" fontId="3" fillId="0" borderId="11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2" fillId="0" borderId="13" xfId="0" applyFont="1" applyBorder="1" applyAlignment="1">
      <alignment vertical="top" wrapText="1"/>
    </xf>
    <xf numFmtId="170" fontId="3" fillId="0" borderId="10" xfId="0" applyNumberFormat="1" applyFont="1" applyBorder="1" applyAlignment="1">
      <alignment horizontal="center"/>
    </xf>
    <xf numFmtId="170" fontId="0" fillId="0" borderId="10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0" fillId="0" borderId="13" xfId="0" applyBorder="1" applyAlignment="1">
      <alignment/>
    </xf>
    <xf numFmtId="169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16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/>
    </xf>
    <xf numFmtId="169" fontId="4" fillId="0" borderId="11" xfId="0" applyNumberFormat="1" applyFont="1" applyBorder="1" applyAlignment="1">
      <alignment/>
    </xf>
    <xf numFmtId="169" fontId="4" fillId="0" borderId="14" xfId="0" applyNumberFormat="1" applyFont="1" applyBorder="1" applyAlignment="1">
      <alignment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right" vertical="top"/>
    </xf>
    <xf numFmtId="170" fontId="18" fillId="0" borderId="0" xfId="0" applyNumberFormat="1" applyFont="1" applyAlignment="1">
      <alignment/>
    </xf>
    <xf numFmtId="180" fontId="3" fillId="0" borderId="10" xfId="0" applyNumberFormat="1" applyFont="1" applyBorder="1" applyAlignment="1">
      <alignment/>
    </xf>
    <xf numFmtId="180" fontId="0" fillId="0" borderId="10" xfId="0" applyNumberFormat="1" applyFont="1" applyBorder="1" applyAlignment="1">
      <alignment/>
    </xf>
    <xf numFmtId="180" fontId="0" fillId="0" borderId="10" xfId="0" applyNumberFormat="1" applyFont="1" applyBorder="1" applyAlignment="1">
      <alignment horizontal="center" vertical="top"/>
    </xf>
    <xf numFmtId="170" fontId="2" fillId="0" borderId="15" xfId="0" applyNumberFormat="1" applyFont="1" applyBorder="1" applyAlignment="1">
      <alignment horizontal="right" vertical="top" wrapText="1"/>
    </xf>
    <xf numFmtId="180" fontId="2" fillId="0" borderId="10" xfId="0" applyNumberFormat="1" applyFont="1" applyBorder="1" applyAlignment="1">
      <alignment horizontal="right" vertical="top" wrapText="1"/>
    </xf>
    <xf numFmtId="180" fontId="3" fillId="0" borderId="10" xfId="0" applyNumberFormat="1" applyFont="1" applyBorder="1" applyAlignment="1">
      <alignment horizontal="right" vertical="top" wrapText="1"/>
    </xf>
    <xf numFmtId="180" fontId="3" fillId="0" borderId="10" xfId="0" applyNumberFormat="1" applyFont="1" applyBorder="1" applyAlignment="1">
      <alignment horizontal="right"/>
    </xf>
    <xf numFmtId="180" fontId="2" fillId="0" borderId="10" xfId="0" applyNumberFormat="1" applyFont="1" applyBorder="1" applyAlignment="1">
      <alignment/>
    </xf>
    <xf numFmtId="0" fontId="9" fillId="0" borderId="10" xfId="0" applyFont="1" applyBorder="1" applyAlignment="1">
      <alignment vertical="top" wrapText="1"/>
    </xf>
    <xf numFmtId="170" fontId="2" fillId="0" borderId="10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/>
    </xf>
    <xf numFmtId="170" fontId="0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170" fontId="3" fillId="0" borderId="10" xfId="0" applyNumberFormat="1" applyFont="1" applyBorder="1" applyAlignment="1">
      <alignment horizontal="right" vertical="center" wrapText="1"/>
    </xf>
    <xf numFmtId="170" fontId="3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170" fontId="0" fillId="0" borderId="10" xfId="0" applyNumberFormat="1" applyFont="1" applyBorder="1" applyAlignment="1">
      <alignment horizontal="right" vertical="top"/>
    </xf>
    <xf numFmtId="170" fontId="0" fillId="0" borderId="0" xfId="0" applyNumberFormat="1" applyFont="1" applyBorder="1" applyAlignment="1">
      <alignment/>
    </xf>
    <xf numFmtId="0" fontId="0" fillId="33" borderId="0" xfId="0" applyFill="1" applyAlignment="1">
      <alignment/>
    </xf>
    <xf numFmtId="0" fontId="3" fillId="0" borderId="16" xfId="0" applyFont="1" applyBorder="1" applyAlignment="1">
      <alignment horizontal="center" vertical="top"/>
    </xf>
    <xf numFmtId="170" fontId="0" fillId="0" borderId="11" xfId="0" applyNumberFormat="1" applyFont="1" applyBorder="1" applyAlignment="1">
      <alignment horizontal="right" vertical="top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170" fontId="3" fillId="0" borderId="11" xfId="0" applyNumberFormat="1" applyFont="1" applyBorder="1" applyAlignment="1">
      <alignment horizontal="center" vertical="center" wrapText="1"/>
    </xf>
    <xf numFmtId="170" fontId="0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170" fontId="3" fillId="0" borderId="10" xfId="0" applyNumberFormat="1" applyFont="1" applyFill="1" applyBorder="1" applyAlignment="1">
      <alignment/>
    </xf>
    <xf numFmtId="170" fontId="0" fillId="0" borderId="10" xfId="0" applyNumberFormat="1" applyFont="1" applyFill="1" applyBorder="1" applyAlignment="1">
      <alignment/>
    </xf>
    <xf numFmtId="170" fontId="3" fillId="0" borderId="17" xfId="0" applyNumberFormat="1" applyFont="1" applyFill="1" applyBorder="1" applyAlignment="1">
      <alignment horizontal="left" wrapText="1"/>
    </xf>
    <xf numFmtId="0" fontId="0" fillId="0" borderId="0" xfId="0" applyFill="1" applyAlignment="1">
      <alignment/>
    </xf>
    <xf numFmtId="170" fontId="3" fillId="0" borderId="14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183" fontId="3" fillId="0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69" fontId="0" fillId="0" borderId="18" xfId="0" applyNumberFormat="1" applyBorder="1" applyAlignment="1">
      <alignment/>
    </xf>
    <xf numFmtId="169" fontId="5" fillId="0" borderId="19" xfId="0" applyNumberFormat="1" applyFont="1" applyBorder="1" applyAlignment="1">
      <alignment/>
    </xf>
    <xf numFmtId="169" fontId="5" fillId="0" borderId="20" xfId="0" applyNumberFormat="1" applyFont="1" applyBorder="1" applyAlignment="1">
      <alignment/>
    </xf>
    <xf numFmtId="169" fontId="1" fillId="0" borderId="18" xfId="0" applyNumberFormat="1" applyFont="1" applyBorder="1" applyAlignment="1">
      <alignment/>
    </xf>
    <xf numFmtId="169" fontId="0" fillId="0" borderId="21" xfId="0" applyNumberFormat="1" applyFont="1" applyBorder="1" applyAlignment="1">
      <alignment/>
    </xf>
    <xf numFmtId="169" fontId="0" fillId="0" borderId="22" xfId="0" applyNumberFormat="1" applyFont="1" applyBorder="1" applyAlignment="1">
      <alignment/>
    </xf>
    <xf numFmtId="169" fontId="0" fillId="0" borderId="23" xfId="0" applyNumberFormat="1" applyFont="1" applyBorder="1" applyAlignment="1">
      <alignment/>
    </xf>
    <xf numFmtId="169" fontId="0" fillId="0" borderId="21" xfId="0" applyNumberFormat="1" applyFont="1" applyBorder="1" applyAlignment="1">
      <alignment/>
    </xf>
    <xf numFmtId="169" fontId="0" fillId="0" borderId="22" xfId="0" applyNumberFormat="1" applyFont="1" applyBorder="1" applyAlignment="1">
      <alignment/>
    </xf>
    <xf numFmtId="169" fontId="0" fillId="0" borderId="23" xfId="0" applyNumberFormat="1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20" fontId="3" fillId="0" borderId="10" xfId="0" applyNumberFormat="1" applyFont="1" applyBorder="1" applyAlignment="1">
      <alignment horizontal="right"/>
    </xf>
    <xf numFmtId="170" fontId="3" fillId="0" borderId="10" xfId="0" applyNumberFormat="1" applyFont="1" applyBorder="1" applyAlignment="1">
      <alignment vertical="top" wrapText="1"/>
    </xf>
    <xf numFmtId="0" fontId="25" fillId="0" borderId="0" xfId="0" applyFont="1" applyBorder="1" applyAlignment="1">
      <alignment/>
    </xf>
    <xf numFmtId="170" fontId="1" fillId="0" borderId="10" xfId="0" applyNumberFormat="1" applyFont="1" applyBorder="1" applyAlignment="1">
      <alignment vertical="center" wrapText="1"/>
    </xf>
    <xf numFmtId="170" fontId="12" fillId="0" borderId="0" xfId="0" applyNumberFormat="1" applyFont="1" applyBorder="1" applyAlignment="1">
      <alignment horizontal="left" wrapText="1"/>
    </xf>
    <xf numFmtId="170" fontId="12" fillId="0" borderId="0" xfId="0" applyNumberFormat="1" applyFont="1" applyBorder="1" applyAlignment="1">
      <alignment/>
    </xf>
    <xf numFmtId="170" fontId="12" fillId="0" borderId="0" xfId="0" applyNumberFormat="1" applyFont="1" applyBorder="1" applyAlignment="1">
      <alignment vertical="center"/>
    </xf>
    <xf numFmtId="170" fontId="9" fillId="0" borderId="0" xfId="0" applyNumberFormat="1" applyFont="1" applyAlignment="1">
      <alignment/>
    </xf>
    <xf numFmtId="170" fontId="12" fillId="0" borderId="0" xfId="0" applyNumberFormat="1" applyFont="1" applyAlignment="1">
      <alignment/>
    </xf>
    <xf numFmtId="0" fontId="12" fillId="0" borderId="0" xfId="0" applyFont="1" applyBorder="1" applyAlignment="1">
      <alignment vertical="top" wrapText="1"/>
    </xf>
    <xf numFmtId="0" fontId="22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70" fontId="12" fillId="0" borderId="0" xfId="0" applyNumberFormat="1" applyFont="1" applyBorder="1" applyAlignment="1">
      <alignment horizontal="left" vertical="center" wrapText="1"/>
    </xf>
    <xf numFmtId="170" fontId="12" fillId="0" borderId="0" xfId="0" applyNumberFormat="1" applyFont="1" applyBorder="1" applyAlignment="1">
      <alignment vertical="top" wrapText="1"/>
    </xf>
    <xf numFmtId="170" fontId="1" fillId="0" borderId="25" xfId="0" applyNumberFormat="1" applyFont="1" applyBorder="1" applyAlignment="1">
      <alignment vertical="center" wrapText="1"/>
    </xf>
    <xf numFmtId="0" fontId="1" fillId="0" borderId="26" xfId="0" applyFont="1" applyBorder="1" applyAlignment="1">
      <alignment horizontal="center" wrapText="1"/>
    </xf>
    <xf numFmtId="0" fontId="11" fillId="0" borderId="0" xfId="0" applyFont="1" applyBorder="1" applyAlignment="1">
      <alignment/>
    </xf>
    <xf numFmtId="170" fontId="1" fillId="0" borderId="16" xfId="0" applyNumberFormat="1" applyFont="1" applyBorder="1" applyAlignment="1">
      <alignment vertical="center"/>
    </xf>
    <xf numFmtId="170" fontId="1" fillId="0" borderId="17" xfId="0" applyNumberFormat="1" applyFont="1" applyFill="1" applyBorder="1" applyAlignment="1">
      <alignment vertical="center" wrapText="1"/>
    </xf>
    <xf numFmtId="170" fontId="0" fillId="0" borderId="24" xfId="0" applyNumberFormat="1" applyFont="1" applyBorder="1" applyAlignment="1">
      <alignment vertical="center"/>
    </xf>
    <xf numFmtId="170" fontId="27" fillId="33" borderId="16" xfId="0" applyNumberFormat="1" applyFont="1" applyFill="1" applyBorder="1" applyAlignment="1">
      <alignment vertical="center"/>
    </xf>
    <xf numFmtId="0" fontId="27" fillId="33" borderId="0" xfId="0" applyFont="1" applyFill="1" applyBorder="1" applyAlignment="1">
      <alignment/>
    </xf>
    <xf numFmtId="170" fontId="27" fillId="33" borderId="24" xfId="0" applyNumberFormat="1" applyFont="1" applyFill="1" applyBorder="1" applyAlignment="1">
      <alignment vertical="center" wrapText="1"/>
    </xf>
    <xf numFmtId="170" fontId="27" fillId="33" borderId="24" xfId="0" applyNumberFormat="1" applyFont="1" applyFill="1" applyBorder="1" applyAlignment="1">
      <alignment vertical="center"/>
    </xf>
    <xf numFmtId="170" fontId="1" fillId="0" borderId="27" xfId="0" applyNumberFormat="1" applyFont="1" applyBorder="1" applyAlignment="1">
      <alignment vertical="center" wrapText="1"/>
    </xf>
    <xf numFmtId="170" fontId="1" fillId="0" borderId="28" xfId="0" applyNumberFormat="1" applyFont="1" applyBorder="1" applyAlignment="1">
      <alignment vertical="center"/>
    </xf>
    <xf numFmtId="170" fontId="1" fillId="0" borderId="27" xfId="0" applyNumberFormat="1" applyFont="1" applyBorder="1" applyAlignment="1">
      <alignment vertical="center"/>
    </xf>
    <xf numFmtId="0" fontId="27" fillId="0" borderId="0" xfId="0" applyFont="1" applyFill="1" applyBorder="1" applyAlignment="1">
      <alignment/>
    </xf>
    <xf numFmtId="0" fontId="24" fillId="0" borderId="29" xfId="0" applyFont="1" applyBorder="1" applyAlignment="1">
      <alignment horizontal="center" vertical="center" wrapText="1"/>
    </xf>
    <xf numFmtId="170" fontId="24" fillId="0" borderId="30" xfId="0" applyNumberFormat="1" applyFont="1" applyBorder="1" applyAlignment="1">
      <alignment horizontal="center" vertical="center" wrapText="1"/>
    </xf>
    <xf numFmtId="170" fontId="24" fillId="0" borderId="30" xfId="0" applyNumberFormat="1" applyFont="1" applyFill="1" applyBorder="1" applyAlignment="1">
      <alignment horizontal="center" vertical="center"/>
    </xf>
    <xf numFmtId="170" fontId="24" fillId="0" borderId="31" xfId="0" applyNumberFormat="1" applyFont="1" applyBorder="1" applyAlignment="1">
      <alignment horizontal="center" vertical="center" wrapText="1"/>
    </xf>
    <xf numFmtId="170" fontId="24" fillId="0" borderId="32" xfId="0" applyNumberFormat="1" applyFont="1" applyBorder="1" applyAlignment="1">
      <alignment horizontal="center" vertical="center" wrapText="1"/>
    </xf>
    <xf numFmtId="170" fontId="1" fillId="0" borderId="33" xfId="0" applyNumberFormat="1" applyFont="1" applyFill="1" applyBorder="1" applyAlignment="1">
      <alignment vertical="center" wrapText="1"/>
    </xf>
    <xf numFmtId="170" fontId="1" fillId="0" borderId="34" xfId="0" applyNumberFormat="1" applyFont="1" applyFill="1" applyBorder="1" applyAlignment="1">
      <alignment vertical="center" wrapText="1"/>
    </xf>
    <xf numFmtId="170" fontId="25" fillId="0" borderId="17" xfId="0" applyNumberFormat="1" applyFont="1" applyFill="1" applyBorder="1" applyAlignment="1">
      <alignment vertical="center" wrapText="1"/>
    </xf>
    <xf numFmtId="170" fontId="0" fillId="0" borderId="35" xfId="0" applyNumberFormat="1" applyFont="1" applyBorder="1" applyAlignment="1">
      <alignment vertical="center" wrapText="1"/>
    </xf>
    <xf numFmtId="170" fontId="0" fillId="0" borderId="36" xfId="0" applyNumberFormat="1" applyFont="1" applyBorder="1" applyAlignment="1">
      <alignment vertical="center" wrapText="1"/>
    </xf>
    <xf numFmtId="170" fontId="0" fillId="0" borderId="33" xfId="0" applyNumberFormat="1" applyFont="1" applyFill="1" applyBorder="1" applyAlignment="1">
      <alignment vertical="center" wrapText="1"/>
    </xf>
    <xf numFmtId="170" fontId="0" fillId="0" borderId="37" xfId="0" applyNumberFormat="1" applyFont="1" applyBorder="1" applyAlignment="1">
      <alignment vertical="center"/>
    </xf>
    <xf numFmtId="170" fontId="0" fillId="0" borderId="36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vertical="center" wrapText="1"/>
    </xf>
    <xf numFmtId="170" fontId="0" fillId="0" borderId="24" xfId="0" applyNumberFormat="1" applyFont="1" applyBorder="1" applyAlignment="1">
      <alignment vertical="center" wrapText="1"/>
    </xf>
    <xf numFmtId="170" fontId="0" fillId="0" borderId="17" xfId="0" applyNumberFormat="1" applyFont="1" applyFill="1" applyBorder="1" applyAlignment="1">
      <alignment vertical="center" wrapText="1"/>
    </xf>
    <xf numFmtId="170" fontId="0" fillId="0" borderId="16" xfId="0" applyNumberFormat="1" applyFont="1" applyBorder="1" applyAlignment="1">
      <alignment vertical="center"/>
    </xf>
    <xf numFmtId="0" fontId="12" fillId="0" borderId="26" xfId="0" applyFont="1" applyBorder="1" applyAlignment="1">
      <alignment horizontal="center" wrapText="1"/>
    </xf>
    <xf numFmtId="170" fontId="12" fillId="0" borderId="34" xfId="0" applyNumberFormat="1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170" fontId="25" fillId="33" borderId="10" xfId="0" applyNumberFormat="1" applyFont="1" applyFill="1" applyBorder="1" applyAlignment="1">
      <alignment vertical="center" wrapText="1"/>
    </xf>
    <xf numFmtId="170" fontId="25" fillId="33" borderId="16" xfId="0" applyNumberFormat="1" applyFont="1" applyFill="1" applyBorder="1" applyAlignment="1">
      <alignment vertical="center"/>
    </xf>
    <xf numFmtId="17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0" fontId="24" fillId="0" borderId="18" xfId="0" applyNumberFormat="1" applyFont="1" applyBorder="1" applyAlignment="1">
      <alignment horizontal="center" wrapText="1"/>
    </xf>
    <xf numFmtId="0" fontId="22" fillId="0" borderId="38" xfId="0" applyFont="1" applyBorder="1" applyAlignment="1">
      <alignment horizontal="center" wrapText="1"/>
    </xf>
    <xf numFmtId="0" fontId="22" fillId="0" borderId="39" xfId="0" applyFont="1" applyBorder="1" applyAlignment="1">
      <alignment horizontal="center" wrapText="1"/>
    </xf>
    <xf numFmtId="0" fontId="28" fillId="33" borderId="39" xfId="0" applyFont="1" applyFill="1" applyBorder="1" applyAlignment="1">
      <alignment horizontal="center" wrapText="1"/>
    </xf>
    <xf numFmtId="0" fontId="22" fillId="0" borderId="40" xfId="0" applyFont="1" applyBorder="1" applyAlignment="1">
      <alignment horizontal="center" vertical="center" wrapText="1"/>
    </xf>
    <xf numFmtId="170" fontId="25" fillId="33" borderId="41" xfId="0" applyNumberFormat="1" applyFont="1" applyFill="1" applyBorder="1" applyAlignment="1">
      <alignment vertical="center" wrapText="1"/>
    </xf>
    <xf numFmtId="170" fontId="25" fillId="33" borderId="41" xfId="0" applyNumberFormat="1" applyFont="1" applyFill="1" applyBorder="1" applyAlignment="1">
      <alignment vertical="center"/>
    </xf>
    <xf numFmtId="170" fontId="22" fillId="0" borderId="17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2" fillId="0" borderId="17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170" fontId="22" fillId="0" borderId="0" xfId="0" applyNumberFormat="1" applyFont="1" applyBorder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170" fontId="22" fillId="0" borderId="17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171" fontId="12" fillId="0" borderId="0" xfId="0" applyNumberFormat="1" applyFont="1" applyBorder="1" applyAlignment="1">
      <alignment/>
    </xf>
    <xf numFmtId="0" fontId="26" fillId="33" borderId="39" xfId="0" applyFont="1" applyFill="1" applyBorder="1" applyAlignment="1">
      <alignment horizontal="center" wrapText="1"/>
    </xf>
    <xf numFmtId="170" fontId="26" fillId="33" borderId="10" xfId="0" applyNumberFormat="1" applyFont="1" applyFill="1" applyBorder="1" applyAlignment="1">
      <alignment vertical="center" wrapText="1"/>
    </xf>
    <xf numFmtId="0" fontId="26" fillId="0" borderId="0" xfId="0" applyFont="1" applyBorder="1" applyAlignment="1">
      <alignment/>
    </xf>
    <xf numFmtId="0" fontId="12" fillId="0" borderId="39" xfId="0" applyFont="1" applyBorder="1" applyAlignment="1">
      <alignment horizontal="center" wrapText="1"/>
    </xf>
    <xf numFmtId="170" fontId="12" fillId="0" borderId="10" xfId="0" applyNumberFormat="1" applyFont="1" applyBorder="1" applyAlignment="1">
      <alignment vertical="center" wrapText="1"/>
    </xf>
    <xf numFmtId="0" fontId="9" fillId="0" borderId="0" xfId="0" applyFont="1" applyAlignment="1">
      <alignment/>
    </xf>
    <xf numFmtId="0" fontId="0" fillId="0" borderId="10" xfId="0" applyBorder="1" applyAlignment="1">
      <alignment vertical="center" wrapText="1"/>
    </xf>
    <xf numFmtId="188" fontId="3" fillId="0" borderId="10" xfId="0" applyNumberFormat="1" applyFont="1" applyBorder="1" applyAlignment="1">
      <alignment horizontal="right" vertical="top" wrapText="1"/>
    </xf>
    <xf numFmtId="0" fontId="22" fillId="0" borderId="0" xfId="0" applyFont="1" applyFill="1" applyBorder="1" applyAlignment="1">
      <alignment horizontal="center" vertical="center" wrapText="1"/>
    </xf>
    <xf numFmtId="170" fontId="0" fillId="0" borderId="0" xfId="0" applyNumberFormat="1" applyFont="1" applyFill="1" applyBorder="1" applyAlignment="1">
      <alignment horizontal="right" vertical="center" wrapText="1"/>
    </xf>
    <xf numFmtId="170" fontId="0" fillId="0" borderId="0" xfId="0" applyNumberFormat="1" applyFont="1" applyFill="1" applyBorder="1" applyAlignment="1">
      <alignment horizontal="center" vertical="center" wrapText="1"/>
    </xf>
    <xf numFmtId="170" fontId="12" fillId="0" borderId="0" xfId="0" applyNumberFormat="1" applyFont="1" applyBorder="1" applyAlignment="1">
      <alignment vertical="center" wrapText="1"/>
    </xf>
    <xf numFmtId="170" fontId="12" fillId="0" borderId="0" xfId="0" applyNumberFormat="1" applyFont="1" applyFill="1" applyBorder="1" applyAlignment="1">
      <alignment vertical="center" wrapText="1"/>
    </xf>
    <xf numFmtId="170" fontId="22" fillId="0" borderId="0" xfId="0" applyNumberFormat="1" applyFont="1" applyBorder="1" applyAlignment="1">
      <alignment/>
    </xf>
    <xf numFmtId="0" fontId="22" fillId="0" borderId="0" xfId="0" applyNumberFormat="1" applyFont="1" applyFill="1" applyBorder="1" applyAlignment="1">
      <alignment horizontal="center" vertical="center" wrapText="1"/>
    </xf>
    <xf numFmtId="170" fontId="22" fillId="0" borderId="0" xfId="0" applyNumberFormat="1" applyFont="1" applyFill="1" applyBorder="1" applyAlignment="1">
      <alignment horizontal="center"/>
    </xf>
    <xf numFmtId="170" fontId="22" fillId="0" borderId="0" xfId="0" applyNumberFormat="1" applyFont="1" applyFill="1" applyBorder="1" applyAlignment="1">
      <alignment horizontal="right" vertical="center" wrapText="1"/>
    </xf>
    <xf numFmtId="170" fontId="22" fillId="0" borderId="0" xfId="0" applyNumberFormat="1" applyFont="1" applyFill="1" applyBorder="1" applyAlignment="1">
      <alignment/>
    </xf>
    <xf numFmtId="170" fontId="0" fillId="0" borderId="0" xfId="0" applyNumberFormat="1" applyFont="1" applyBorder="1" applyAlignment="1">
      <alignment horizontal="center" vertical="center"/>
    </xf>
    <xf numFmtId="170" fontId="0" fillId="0" borderId="0" xfId="0" applyNumberFormat="1" applyFont="1" applyFill="1" applyBorder="1" applyAlignment="1">
      <alignment horizontal="center" vertical="center"/>
    </xf>
    <xf numFmtId="170" fontId="0" fillId="0" borderId="0" xfId="0" applyNumberFormat="1" applyFont="1" applyBorder="1" applyAlignment="1">
      <alignment vertical="center"/>
    </xf>
    <xf numFmtId="170" fontId="22" fillId="0" borderId="11" xfId="0" applyNumberFormat="1" applyFont="1" applyFill="1" applyBorder="1" applyAlignment="1">
      <alignment horizontal="center"/>
    </xf>
    <xf numFmtId="170" fontId="0" fillId="0" borderId="14" xfId="0" applyNumberFormat="1" applyFont="1" applyFill="1" applyBorder="1" applyAlignment="1">
      <alignment horizontal="center" vertical="center"/>
    </xf>
    <xf numFmtId="170" fontId="12" fillId="0" borderId="14" xfId="0" applyNumberFormat="1" applyFont="1" applyBorder="1" applyAlignment="1">
      <alignment vertical="center" wrapText="1"/>
    </xf>
    <xf numFmtId="171" fontId="22" fillId="0" borderId="0" xfId="0" applyNumberFormat="1" applyFont="1" applyBorder="1" applyAlignment="1">
      <alignment/>
    </xf>
    <xf numFmtId="171" fontId="13" fillId="0" borderId="0" xfId="0" applyNumberFormat="1" applyFont="1" applyBorder="1" applyAlignment="1">
      <alignment/>
    </xf>
    <xf numFmtId="171" fontId="1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170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2" fillId="0" borderId="42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3" fillId="0" borderId="11" xfId="0" applyFont="1" applyBorder="1" applyAlignment="1">
      <alignment wrapText="1"/>
    </xf>
    <xf numFmtId="0" fontId="3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top"/>
    </xf>
    <xf numFmtId="180" fontId="2" fillId="0" borderId="0" xfId="0" applyNumberFormat="1" applyFont="1" applyBorder="1" applyAlignment="1">
      <alignment horizontal="right" vertical="top" wrapText="1"/>
    </xf>
    <xf numFmtId="170" fontId="2" fillId="0" borderId="43" xfId="0" applyNumberFormat="1" applyFont="1" applyBorder="1" applyAlignment="1">
      <alignment/>
    </xf>
    <xf numFmtId="170" fontId="3" fillId="0" borderId="11" xfId="0" applyNumberFormat="1" applyFont="1" applyBorder="1" applyAlignment="1">
      <alignment horizontal="right" vertical="top"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 horizontal="center" wrapText="1"/>
    </xf>
    <xf numFmtId="170" fontId="0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top" wrapText="1"/>
    </xf>
    <xf numFmtId="180" fontId="2" fillId="0" borderId="44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wrapText="1"/>
    </xf>
    <xf numFmtId="170" fontId="0" fillId="0" borderId="10" xfId="0" applyNumberFormat="1" applyFont="1" applyFill="1" applyBorder="1" applyAlignment="1">
      <alignment vertical="center" wrapText="1"/>
    </xf>
    <xf numFmtId="170" fontId="0" fillId="0" borderId="35" xfId="0" applyNumberFormat="1" applyFont="1" applyFill="1" applyBorder="1" applyAlignment="1">
      <alignment vertical="center" wrapText="1"/>
    </xf>
    <xf numFmtId="170" fontId="1" fillId="0" borderId="25" xfId="0" applyNumberFormat="1" applyFont="1" applyFill="1" applyBorder="1" applyAlignment="1">
      <alignment vertical="center" wrapText="1"/>
    </xf>
    <xf numFmtId="0" fontId="12" fillId="0" borderId="45" xfId="0" applyFont="1" applyBorder="1" applyAlignment="1">
      <alignment horizontal="center" wrapText="1"/>
    </xf>
    <xf numFmtId="0" fontId="12" fillId="0" borderId="38" xfId="0" applyFont="1" applyBorder="1" applyAlignment="1">
      <alignment horizontal="center" vertical="center" wrapText="1"/>
    </xf>
    <xf numFmtId="170" fontId="12" fillId="0" borderId="35" xfId="0" applyNumberFormat="1" applyFont="1" applyBorder="1" applyAlignment="1">
      <alignment horizontal="center" vertical="center" wrapText="1"/>
    </xf>
    <xf numFmtId="170" fontId="12" fillId="0" borderId="46" xfId="0" applyNumberFormat="1" applyFont="1" applyBorder="1" applyAlignment="1">
      <alignment vertical="center"/>
    </xf>
    <xf numFmtId="170" fontId="12" fillId="0" borderId="47" xfId="0" applyNumberFormat="1" applyFont="1" applyBorder="1" applyAlignment="1">
      <alignment vertical="center"/>
    </xf>
    <xf numFmtId="170" fontId="12" fillId="0" borderId="36" xfId="0" applyNumberFormat="1" applyFont="1" applyBorder="1" applyAlignment="1">
      <alignment horizontal="center" vertical="center" wrapText="1"/>
    </xf>
    <xf numFmtId="170" fontId="12" fillId="0" borderId="41" xfId="0" applyNumberFormat="1" applyFont="1" applyBorder="1" applyAlignment="1">
      <alignment vertical="center" wrapText="1"/>
    </xf>
    <xf numFmtId="170" fontId="12" fillId="0" borderId="37" xfId="0" applyNumberFormat="1" applyFont="1" applyBorder="1" applyAlignment="1">
      <alignment horizontal="center" vertical="center" wrapText="1"/>
    </xf>
    <xf numFmtId="170" fontId="12" fillId="0" borderId="48" xfId="0" applyNumberFormat="1" applyFont="1" applyBorder="1" applyAlignment="1">
      <alignment vertical="center"/>
    </xf>
    <xf numFmtId="170" fontId="12" fillId="0" borderId="17" xfId="0" applyNumberFormat="1" applyFont="1" applyFill="1" applyBorder="1" applyAlignment="1">
      <alignment vertical="center" wrapText="1"/>
    </xf>
    <xf numFmtId="170" fontId="26" fillId="0" borderId="17" xfId="0" applyNumberFormat="1" applyFont="1" applyFill="1" applyBorder="1" applyAlignment="1">
      <alignment vertical="center" wrapText="1"/>
    </xf>
    <xf numFmtId="170" fontId="12" fillId="0" borderId="41" xfId="0" applyNumberFormat="1" applyFont="1" applyBorder="1" applyAlignment="1">
      <alignment vertical="center"/>
    </xf>
    <xf numFmtId="170" fontId="12" fillId="0" borderId="33" xfId="0" applyNumberFormat="1" applyFont="1" applyFill="1" applyBorder="1" applyAlignment="1">
      <alignment horizontal="center" vertical="center"/>
    </xf>
    <xf numFmtId="0" fontId="12" fillId="0" borderId="49" xfId="0" applyFont="1" applyBorder="1" applyAlignment="1">
      <alignment horizontal="left" wrapText="1"/>
    </xf>
    <xf numFmtId="170" fontId="0" fillId="0" borderId="10" xfId="0" applyNumberFormat="1" applyFont="1" applyFill="1" applyBorder="1" applyAlignment="1">
      <alignment horizontal="center" vertical="center"/>
    </xf>
    <xf numFmtId="0" fontId="34" fillId="33" borderId="39" xfId="0" applyFont="1" applyFill="1" applyBorder="1" applyAlignment="1">
      <alignment horizontal="center" wrapText="1"/>
    </xf>
    <xf numFmtId="0" fontId="12" fillId="0" borderId="50" xfId="0" applyFont="1" applyBorder="1" applyAlignment="1">
      <alignment horizontal="left" wrapText="1"/>
    </xf>
    <xf numFmtId="170" fontId="22" fillId="33" borderId="10" xfId="0" applyNumberFormat="1" applyFont="1" applyFill="1" applyBorder="1" applyAlignment="1">
      <alignment horizontal="left" wrapText="1"/>
    </xf>
    <xf numFmtId="0" fontId="0" fillId="0" borderId="10" xfId="0" applyFont="1" applyBorder="1" applyAlignment="1">
      <alignment horizontal="center" vertical="top" wrapText="1"/>
    </xf>
    <xf numFmtId="0" fontId="12" fillId="0" borderId="51" xfId="0" applyFont="1" applyBorder="1" applyAlignment="1">
      <alignment horizontal="left" wrapText="1"/>
    </xf>
    <xf numFmtId="170" fontId="12" fillId="0" borderId="0" xfId="0" applyNumberFormat="1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wrapText="1"/>
    </xf>
    <xf numFmtId="170" fontId="12" fillId="0" borderId="52" xfId="0" applyNumberFormat="1" applyFont="1" applyFill="1" applyBorder="1" applyAlignment="1">
      <alignment vertical="center" wrapText="1"/>
    </xf>
    <xf numFmtId="170" fontId="1" fillId="0" borderId="53" xfId="0" applyNumberFormat="1" applyFont="1" applyFill="1" applyBorder="1" applyAlignment="1">
      <alignment vertical="center" wrapText="1"/>
    </xf>
    <xf numFmtId="170" fontId="27" fillId="33" borderId="53" xfId="0" applyNumberFormat="1" applyFont="1" applyFill="1" applyBorder="1" applyAlignment="1">
      <alignment vertical="center" wrapText="1"/>
    </xf>
    <xf numFmtId="170" fontId="1" fillId="0" borderId="54" xfId="0" applyNumberFormat="1" applyFont="1" applyBorder="1" applyAlignment="1">
      <alignment horizontal="center" wrapText="1"/>
    </xf>
    <xf numFmtId="170" fontId="12" fillId="0" borderId="53" xfId="0" applyNumberFormat="1" applyFont="1" applyFill="1" applyBorder="1" applyAlignment="1">
      <alignment vertical="center" wrapText="1"/>
    </xf>
    <xf numFmtId="170" fontId="12" fillId="0" borderId="10" xfId="0" applyNumberFormat="1" applyFont="1" applyBorder="1" applyAlignment="1">
      <alignment vertical="center"/>
    </xf>
    <xf numFmtId="170" fontId="1" fillId="0" borderId="35" xfId="0" applyNumberFormat="1" applyFont="1" applyBorder="1" applyAlignment="1">
      <alignment horizontal="center" wrapText="1"/>
    </xf>
    <xf numFmtId="170" fontId="12" fillId="0" borderId="25" xfId="0" applyNumberFormat="1" applyFont="1" applyBorder="1" applyAlignment="1">
      <alignment vertical="center"/>
    </xf>
    <xf numFmtId="170" fontId="1" fillId="0" borderId="10" xfId="0" applyNumberFormat="1" applyFont="1" applyBorder="1" applyAlignment="1">
      <alignment vertical="center"/>
    </xf>
    <xf numFmtId="170" fontId="27" fillId="33" borderId="10" xfId="0" applyNumberFormat="1" applyFont="1" applyFill="1" applyBorder="1" applyAlignment="1">
      <alignment vertical="center"/>
    </xf>
    <xf numFmtId="170" fontId="27" fillId="33" borderId="46" xfId="0" applyNumberFormat="1" applyFont="1" applyFill="1" applyBorder="1" applyAlignment="1">
      <alignment vertical="center"/>
    </xf>
    <xf numFmtId="170" fontId="1" fillId="0" borderId="46" xfId="0" applyNumberFormat="1" applyFont="1" applyBorder="1" applyAlignment="1">
      <alignment vertical="center"/>
    </xf>
    <xf numFmtId="170" fontId="1" fillId="0" borderId="25" xfId="0" applyNumberFormat="1" applyFont="1" applyBorder="1" applyAlignment="1">
      <alignment vertical="center"/>
    </xf>
    <xf numFmtId="170" fontId="1" fillId="0" borderId="47" xfId="0" applyNumberFormat="1" applyFont="1" applyBorder="1" applyAlignment="1">
      <alignment vertical="center"/>
    </xf>
    <xf numFmtId="170" fontId="25" fillId="33" borderId="10" xfId="0" applyNumberFormat="1" applyFont="1" applyFill="1" applyBorder="1" applyAlignment="1">
      <alignment vertical="center"/>
    </xf>
    <xf numFmtId="170" fontId="0" fillId="0" borderId="35" xfId="0" applyNumberFormat="1" applyFont="1" applyBorder="1" applyAlignment="1">
      <alignment vertical="center"/>
    </xf>
    <xf numFmtId="170" fontId="0" fillId="0" borderId="43" xfId="0" applyNumberFormat="1" applyFont="1" applyBorder="1" applyAlignment="1">
      <alignment vertical="center"/>
    </xf>
    <xf numFmtId="170" fontId="25" fillId="33" borderId="46" xfId="0" applyNumberFormat="1" applyFont="1" applyFill="1" applyBorder="1" applyAlignment="1">
      <alignment vertical="center"/>
    </xf>
    <xf numFmtId="170" fontId="0" fillId="0" borderId="46" xfId="0" applyNumberFormat="1" applyFont="1" applyBorder="1" applyAlignment="1">
      <alignment vertical="center"/>
    </xf>
    <xf numFmtId="170" fontId="0" fillId="0" borderId="55" xfId="0" applyNumberFormat="1" applyFont="1" applyBorder="1" applyAlignment="1">
      <alignment vertical="center" wrapText="1"/>
    </xf>
    <xf numFmtId="170" fontId="35" fillId="0" borderId="28" xfId="0" applyNumberFormat="1" applyFont="1" applyBorder="1" applyAlignment="1">
      <alignment vertical="center"/>
    </xf>
    <xf numFmtId="170" fontId="24" fillId="0" borderId="55" xfId="0" applyNumberFormat="1" applyFont="1" applyBorder="1" applyAlignment="1">
      <alignment horizontal="center" vertical="center" wrapText="1"/>
    </xf>
    <xf numFmtId="170" fontId="1" fillId="0" borderId="55" xfId="0" applyNumberFormat="1" applyFont="1" applyBorder="1" applyAlignment="1">
      <alignment horizontal="center" vertical="center" wrapText="1"/>
    </xf>
    <xf numFmtId="15" fontId="9" fillId="0" borderId="0" xfId="0" applyNumberFormat="1" applyFont="1" applyAlignment="1">
      <alignment/>
    </xf>
    <xf numFmtId="170" fontId="36" fillId="0" borderId="19" xfId="0" applyNumberFormat="1" applyFont="1" applyBorder="1" applyAlignment="1">
      <alignment horizontal="center" wrapText="1"/>
    </xf>
    <xf numFmtId="170" fontId="1" fillId="0" borderId="0" xfId="0" applyNumberFormat="1" applyFont="1" applyBorder="1" applyAlignment="1">
      <alignment/>
    </xf>
    <xf numFmtId="0" fontId="30" fillId="0" borderId="0" xfId="0" applyFont="1" applyBorder="1" applyAlignment="1">
      <alignment horizontal="center" vertical="top"/>
    </xf>
    <xf numFmtId="0" fontId="11" fillId="0" borderId="38" xfId="0" applyFont="1" applyBorder="1" applyAlignment="1">
      <alignment horizontal="center" wrapText="1"/>
    </xf>
    <xf numFmtId="0" fontId="11" fillId="0" borderId="39" xfId="0" applyFont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0" fillId="0" borderId="1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11" fillId="0" borderId="0" xfId="0" applyFont="1" applyBorder="1" applyAlignment="1">
      <alignment horizontal="center"/>
    </xf>
    <xf numFmtId="169" fontId="3" fillId="0" borderId="0" xfId="0" applyNumberFormat="1" applyFont="1" applyBorder="1" applyAlignment="1">
      <alignment horizontal="center"/>
    </xf>
    <xf numFmtId="169" fontId="0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vertical="top" wrapText="1"/>
    </xf>
    <xf numFmtId="170" fontId="0" fillId="0" borderId="10" xfId="0" applyNumberFormat="1" applyFont="1" applyFill="1" applyBorder="1" applyAlignment="1">
      <alignment vertical="top" wrapText="1"/>
    </xf>
    <xf numFmtId="170" fontId="2" fillId="0" borderId="10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169" fontId="0" fillId="0" borderId="0" xfId="0" applyNumberFormat="1" applyAlignment="1">
      <alignment wrapText="1"/>
    </xf>
    <xf numFmtId="169" fontId="0" fillId="0" borderId="0" xfId="0" applyNumberFormat="1" applyFont="1" applyAlignment="1">
      <alignment wrapText="1"/>
    </xf>
    <xf numFmtId="170" fontId="0" fillId="0" borderId="0" xfId="0" applyNumberFormat="1" applyAlignment="1">
      <alignment wrapText="1"/>
    </xf>
    <xf numFmtId="170" fontId="3" fillId="0" borderId="10" xfId="0" applyNumberFormat="1" applyFont="1" applyBorder="1" applyAlignment="1">
      <alignment vertical="center" wrapText="1"/>
    </xf>
    <xf numFmtId="0" fontId="0" fillId="0" borderId="41" xfId="0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right"/>
    </xf>
    <xf numFmtId="0" fontId="3" fillId="0" borderId="53" xfId="0" applyFont="1" applyFill="1" applyBorder="1" applyAlignment="1">
      <alignment/>
    </xf>
    <xf numFmtId="0" fontId="0" fillId="0" borderId="53" xfId="0" applyFont="1" applyFill="1" applyBorder="1" applyAlignment="1">
      <alignment horizontal="center" wrapText="1"/>
    </xf>
    <xf numFmtId="170" fontId="3" fillId="0" borderId="53" xfId="0" applyNumberFormat="1" applyFont="1" applyFill="1" applyBorder="1" applyAlignment="1">
      <alignment/>
    </xf>
    <xf numFmtId="170" fontId="0" fillId="0" borderId="16" xfId="0" applyNumberFormat="1" applyFont="1" applyFill="1" applyBorder="1" applyAlignment="1">
      <alignment/>
    </xf>
    <xf numFmtId="0" fontId="3" fillId="0" borderId="10" xfId="0" applyFont="1" applyBorder="1" applyAlignment="1">
      <alignment horizontal="right" vertical="center"/>
    </xf>
    <xf numFmtId="170" fontId="3" fillId="0" borderId="0" xfId="0" applyNumberFormat="1" applyFont="1" applyBorder="1" applyAlignment="1">
      <alignment vertical="center" wrapText="1"/>
    </xf>
    <xf numFmtId="0" fontId="5" fillId="0" borderId="0" xfId="0" applyFont="1" applyAlignment="1">
      <alignment/>
    </xf>
    <xf numFmtId="0" fontId="3" fillId="34" borderId="10" xfId="0" applyFont="1" applyFill="1" applyBorder="1" applyAlignment="1">
      <alignment horizontal="center"/>
    </xf>
    <xf numFmtId="0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center" wrapText="1"/>
    </xf>
    <xf numFmtId="170" fontId="3" fillId="0" borderId="0" xfId="0" applyNumberFormat="1" applyFont="1" applyAlignment="1">
      <alignment vertical="top" wrapText="1"/>
    </xf>
    <xf numFmtId="0" fontId="2" fillId="0" borderId="0" xfId="0" applyFont="1" applyAlignment="1">
      <alignment horizontal="center" wrapText="1"/>
    </xf>
    <xf numFmtId="170" fontId="3" fillId="0" borderId="14" xfId="0" applyNumberFormat="1" applyFont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20" fontId="3" fillId="0" borderId="10" xfId="0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center" vertical="center" wrapText="1"/>
    </xf>
    <xf numFmtId="170" fontId="3" fillId="0" borderId="10" xfId="0" applyNumberFormat="1" applyFont="1" applyBorder="1" applyAlignment="1">
      <alignment horizontal="center" vertical="center"/>
    </xf>
    <xf numFmtId="169" fontId="3" fillId="0" borderId="10" xfId="0" applyNumberFormat="1" applyFont="1" applyBorder="1" applyAlignment="1">
      <alignment horizontal="center" vertical="center"/>
    </xf>
    <xf numFmtId="46" fontId="3" fillId="0" borderId="14" xfId="0" applyNumberFormat="1" applyFont="1" applyBorder="1" applyAlignment="1">
      <alignment horizontal="right" vertical="center" wrapText="1"/>
    </xf>
    <xf numFmtId="169" fontId="3" fillId="0" borderId="14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2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top" wrapText="1"/>
    </xf>
    <xf numFmtId="170" fontId="3" fillId="0" borderId="0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right"/>
    </xf>
    <xf numFmtId="46" fontId="3" fillId="0" borderId="1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 vertical="center" wrapText="1"/>
    </xf>
    <xf numFmtId="171" fontId="0" fillId="0" borderId="10" xfId="0" applyNumberFormat="1" applyFont="1" applyBorder="1" applyAlignment="1">
      <alignment horizontal="center" vertical="center" wrapText="1"/>
    </xf>
    <xf numFmtId="171" fontId="3" fillId="0" borderId="0" xfId="0" applyNumberFormat="1" applyFont="1" applyBorder="1" applyAlignment="1">
      <alignment horizontal="center" vertical="center" wrapText="1"/>
    </xf>
    <xf numFmtId="171" fontId="0" fillId="0" borderId="0" xfId="0" applyNumberFormat="1" applyFont="1" applyBorder="1" applyAlignment="1">
      <alignment horizontal="center" vertical="center" wrapText="1"/>
    </xf>
    <xf numFmtId="170" fontId="3" fillId="0" borderId="0" xfId="0" applyNumberFormat="1" applyFont="1" applyBorder="1" applyAlignment="1">
      <alignment horizontal="center" vertical="center"/>
    </xf>
    <xf numFmtId="170" fontId="13" fillId="0" borderId="0" xfId="0" applyNumberFormat="1" applyFont="1" applyBorder="1" applyAlignment="1">
      <alignment/>
    </xf>
    <xf numFmtId="170" fontId="28" fillId="0" borderId="0" xfId="0" applyNumberFormat="1" applyFont="1" applyBorder="1" applyAlignment="1">
      <alignment/>
    </xf>
    <xf numFmtId="170" fontId="9" fillId="0" borderId="0" xfId="0" applyNumberFormat="1" applyFont="1" applyBorder="1" applyAlignment="1">
      <alignment/>
    </xf>
    <xf numFmtId="0" fontId="11" fillId="0" borderId="10" xfId="0" applyNumberFormat="1" applyFont="1" applyFill="1" applyBorder="1" applyAlignment="1">
      <alignment vertical="top" wrapText="1"/>
    </xf>
    <xf numFmtId="180" fontId="3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170" fontId="0" fillId="0" borderId="0" xfId="0" applyNumberFormat="1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170" fontId="0" fillId="0" borderId="11" xfId="0" applyNumberFormat="1" applyFont="1" applyBorder="1" applyAlignment="1">
      <alignment vertical="center"/>
    </xf>
    <xf numFmtId="170" fontId="3" fillId="0" borderId="11" xfId="0" applyNumberFormat="1" applyFont="1" applyBorder="1" applyAlignment="1">
      <alignment vertical="center"/>
    </xf>
    <xf numFmtId="170" fontId="0" fillId="0" borderId="11" xfId="0" applyNumberFormat="1" applyFont="1" applyBorder="1" applyAlignment="1">
      <alignment horizontal="right" vertical="center"/>
    </xf>
    <xf numFmtId="180" fontId="2" fillId="0" borderId="18" xfId="0" applyNumberFormat="1" applyFont="1" applyBorder="1" applyAlignment="1">
      <alignment horizontal="right" vertical="center" wrapText="1"/>
    </xf>
    <xf numFmtId="170" fontId="2" fillId="0" borderId="0" xfId="0" applyNumberFormat="1" applyFont="1" applyBorder="1" applyAlignment="1">
      <alignment horizontal="right" wrapText="1"/>
    </xf>
    <xf numFmtId="0" fontId="39" fillId="0" borderId="0" xfId="0" applyFont="1" applyAlignment="1">
      <alignment/>
    </xf>
    <xf numFmtId="180" fontId="2" fillId="0" borderId="10" xfId="0" applyNumberFormat="1" applyFont="1" applyBorder="1" applyAlignment="1">
      <alignment horizontal="right"/>
    </xf>
    <xf numFmtId="170" fontId="0" fillId="0" borderId="14" xfId="0" applyNumberFormat="1" applyFont="1" applyBorder="1" applyAlignment="1">
      <alignment horizontal="center" vertical="center"/>
    </xf>
    <xf numFmtId="170" fontId="0" fillId="0" borderId="15" xfId="0" applyNumberFormat="1" applyFont="1" applyBorder="1" applyAlignment="1">
      <alignment/>
    </xf>
    <xf numFmtId="170" fontId="0" fillId="0" borderId="10" xfId="0" applyNumberFormat="1" applyFont="1" applyBorder="1" applyAlignment="1">
      <alignment horizontal="center" vertical="top"/>
    </xf>
    <xf numFmtId="170" fontId="0" fillId="33" borderId="11" xfId="0" applyNumberFormat="1" applyFont="1" applyFill="1" applyBorder="1" applyAlignment="1">
      <alignment horizontal="center"/>
    </xf>
    <xf numFmtId="170" fontId="0" fillId="35" borderId="11" xfId="0" applyNumberFormat="1" applyFont="1" applyFill="1" applyBorder="1" applyAlignment="1">
      <alignment horizontal="center" vertical="top"/>
    </xf>
    <xf numFmtId="170" fontId="0" fillId="33" borderId="14" xfId="0" applyNumberFormat="1" applyFont="1" applyFill="1" applyBorder="1" applyAlignment="1">
      <alignment horizontal="center"/>
    </xf>
    <xf numFmtId="170" fontId="0" fillId="35" borderId="14" xfId="0" applyNumberFormat="1" applyFont="1" applyFill="1" applyBorder="1" applyAlignment="1">
      <alignment horizontal="center" vertical="top"/>
    </xf>
    <xf numFmtId="170" fontId="0" fillId="0" borderId="24" xfId="0" applyNumberFormat="1" applyFont="1" applyBorder="1" applyAlignment="1">
      <alignment horizontal="center"/>
    </xf>
    <xf numFmtId="170" fontId="0" fillId="0" borderId="40" xfId="0" applyNumberFormat="1" applyFont="1" applyBorder="1" applyAlignment="1">
      <alignment horizontal="center"/>
    </xf>
    <xf numFmtId="170" fontId="0" fillId="34" borderId="10" xfId="0" applyNumberFormat="1" applyFont="1" applyFill="1" applyBorder="1" applyAlignment="1">
      <alignment horizontal="center" vertical="center" wrapText="1"/>
    </xf>
    <xf numFmtId="170" fontId="0" fillId="0" borderId="11" xfId="0" applyNumberFormat="1" applyFont="1" applyBorder="1" applyAlignment="1">
      <alignment/>
    </xf>
    <xf numFmtId="170" fontId="0" fillId="0" borderId="42" xfId="0" applyNumberFormat="1" applyFont="1" applyBorder="1" applyAlignment="1">
      <alignment horizontal="center" vertical="center"/>
    </xf>
    <xf numFmtId="170" fontId="0" fillId="33" borderId="15" xfId="0" applyNumberFormat="1" applyFont="1" applyFill="1" applyBorder="1" applyAlignment="1">
      <alignment horizontal="center"/>
    </xf>
    <xf numFmtId="170" fontId="0" fillId="33" borderId="48" xfId="0" applyNumberFormat="1" applyFont="1" applyFill="1" applyBorder="1" applyAlignment="1">
      <alignment horizontal="right"/>
    </xf>
    <xf numFmtId="170" fontId="0" fillId="0" borderId="48" xfId="0" applyNumberFormat="1" applyFont="1" applyBorder="1" applyAlignment="1">
      <alignment horizontal="center" wrapText="1"/>
    </xf>
    <xf numFmtId="170" fontId="0" fillId="34" borderId="10" xfId="0" applyNumberFormat="1" applyFont="1" applyFill="1" applyBorder="1" applyAlignment="1">
      <alignment vertical="center" wrapText="1"/>
    </xf>
    <xf numFmtId="170" fontId="0" fillId="0" borderId="41" xfId="0" applyNumberFormat="1" applyFont="1" applyBorder="1" applyAlignment="1">
      <alignment vertical="center"/>
    </xf>
    <xf numFmtId="170" fontId="0" fillId="0" borderId="10" xfId="0" applyNumberFormat="1" applyFont="1" applyFill="1" applyBorder="1" applyAlignment="1">
      <alignment horizontal="center"/>
    </xf>
    <xf numFmtId="170" fontId="0" fillId="0" borderId="10" xfId="0" applyNumberFormat="1" applyFont="1" applyBorder="1" applyAlignment="1">
      <alignment horizontal="center" vertical="justify"/>
    </xf>
    <xf numFmtId="0" fontId="0" fillId="0" borderId="10" xfId="0" applyNumberFormat="1" applyFont="1" applyFill="1" applyBorder="1" applyAlignment="1">
      <alignment horizontal="center" vertical="center" wrapText="1"/>
    </xf>
    <xf numFmtId="170" fontId="0" fillId="0" borderId="40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170" fontId="0" fillId="0" borderId="40" xfId="0" applyNumberFormat="1" applyFont="1" applyBorder="1" applyAlignment="1">
      <alignment vertical="center"/>
    </xf>
    <xf numFmtId="170" fontId="0" fillId="0" borderId="11" xfId="0" applyNumberFormat="1" applyFont="1" applyFill="1" applyBorder="1" applyAlignment="1">
      <alignment horizontal="center" vertical="center"/>
    </xf>
    <xf numFmtId="170" fontId="0" fillId="33" borderId="40" xfId="0" applyNumberFormat="1" applyFont="1" applyFill="1" applyBorder="1" applyAlignment="1">
      <alignment horizontal="center" vertical="center" wrapText="1"/>
    </xf>
    <xf numFmtId="170" fontId="0" fillId="0" borderId="17" xfId="0" applyNumberFormat="1" applyFont="1" applyFill="1" applyBorder="1" applyAlignment="1">
      <alignment horizontal="center" vertical="center"/>
    </xf>
    <xf numFmtId="170" fontId="0" fillId="33" borderId="40" xfId="0" applyNumberFormat="1" applyFont="1" applyFill="1" applyBorder="1" applyAlignment="1">
      <alignment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170" fontId="0" fillId="33" borderId="15" xfId="0" applyNumberFormat="1" applyFont="1" applyFill="1" applyBorder="1" applyAlignment="1">
      <alignment vertical="center" wrapText="1"/>
    </xf>
    <xf numFmtId="170" fontId="0" fillId="33" borderId="42" xfId="0" applyNumberFormat="1" applyFont="1" applyFill="1" applyBorder="1" applyAlignment="1">
      <alignment horizontal="right" vertical="center" wrapText="1"/>
    </xf>
    <xf numFmtId="170" fontId="0" fillId="34" borderId="10" xfId="0" applyNumberFormat="1" applyFont="1" applyFill="1" applyBorder="1" applyAlignment="1">
      <alignment horizontal="right" vertical="center" wrapText="1"/>
    </xf>
    <xf numFmtId="170" fontId="0" fillId="33" borderId="22" xfId="0" applyNumberFormat="1" applyFont="1" applyFill="1" applyBorder="1" applyAlignment="1">
      <alignment horizontal="right" vertical="center" wrapText="1"/>
    </xf>
    <xf numFmtId="170" fontId="0" fillId="0" borderId="15" xfId="0" applyNumberFormat="1" applyFont="1" applyBorder="1" applyAlignment="1">
      <alignment horizontal="center"/>
    </xf>
    <xf numFmtId="0" fontId="0" fillId="0" borderId="14" xfId="0" applyNumberFormat="1" applyFont="1" applyFill="1" applyBorder="1" applyAlignment="1">
      <alignment horizontal="center" vertical="center" wrapText="1"/>
    </xf>
    <xf numFmtId="170" fontId="0" fillId="0" borderId="53" xfId="0" applyNumberFormat="1" applyFont="1" applyBorder="1" applyAlignment="1">
      <alignment/>
    </xf>
    <xf numFmtId="170" fontId="0" fillId="33" borderId="15" xfId="0" applyNumberFormat="1" applyFont="1" applyFill="1" applyBorder="1" applyAlignment="1">
      <alignment horizontal="center" vertical="center" wrapText="1"/>
    </xf>
    <xf numFmtId="170" fontId="0" fillId="33" borderId="41" xfId="0" applyNumberFormat="1" applyFont="1" applyFill="1" applyBorder="1" applyAlignment="1">
      <alignment horizontal="right" vertical="center" wrapText="1"/>
    </xf>
    <xf numFmtId="170" fontId="0" fillId="33" borderId="48" xfId="0" applyNumberFormat="1" applyFont="1" applyFill="1" applyBorder="1" applyAlignment="1">
      <alignment horizontal="right" vertical="center" wrapText="1"/>
    </xf>
    <xf numFmtId="170" fontId="0" fillId="0" borderId="17" xfId="0" applyNumberFormat="1" applyFont="1" applyBorder="1" applyAlignment="1">
      <alignment horizontal="right" wrapText="1"/>
    </xf>
    <xf numFmtId="170" fontId="0" fillId="0" borderId="22" xfId="0" applyNumberFormat="1" applyFont="1" applyBorder="1" applyAlignment="1">
      <alignment horizontal="right" wrapText="1"/>
    </xf>
    <xf numFmtId="170" fontId="0" fillId="0" borderId="42" xfId="0" applyNumberFormat="1" applyFont="1" applyBorder="1" applyAlignment="1">
      <alignment vertical="center"/>
    </xf>
    <xf numFmtId="170" fontId="0" fillId="0" borderId="22" xfId="0" applyNumberFormat="1" applyFont="1" applyBorder="1" applyAlignment="1">
      <alignment/>
    </xf>
    <xf numFmtId="170" fontId="0" fillId="33" borderId="40" xfId="0" applyNumberFormat="1" applyFont="1" applyFill="1" applyBorder="1" applyAlignment="1">
      <alignment horizontal="right"/>
    </xf>
    <xf numFmtId="170" fontId="0" fillId="33" borderId="12" xfId="0" applyNumberFormat="1" applyFont="1" applyFill="1" applyBorder="1" applyAlignment="1">
      <alignment horizontal="right"/>
    </xf>
    <xf numFmtId="170" fontId="0" fillId="33" borderId="11" xfId="0" applyNumberFormat="1" applyFont="1" applyFill="1" applyBorder="1" applyAlignment="1">
      <alignment horizontal="right"/>
    </xf>
    <xf numFmtId="170" fontId="0" fillId="33" borderId="41" xfId="0" applyNumberFormat="1" applyFont="1" applyFill="1" applyBorder="1" applyAlignment="1">
      <alignment horizontal="right"/>
    </xf>
    <xf numFmtId="170" fontId="0" fillId="33" borderId="41" xfId="0" applyNumberFormat="1" applyFont="1" applyFill="1" applyBorder="1" applyAlignment="1">
      <alignment horizontal="center" vertical="center" wrapText="1"/>
    </xf>
    <xf numFmtId="170" fontId="0" fillId="33" borderId="13" xfId="0" applyNumberFormat="1" applyFont="1" applyFill="1" applyBorder="1" applyAlignment="1">
      <alignment horizontal="right"/>
    </xf>
    <xf numFmtId="170" fontId="0" fillId="33" borderId="14" xfId="0" applyNumberFormat="1" applyFont="1" applyFill="1" applyBorder="1" applyAlignment="1">
      <alignment horizontal="right"/>
    </xf>
    <xf numFmtId="170" fontId="0" fillId="33" borderId="48" xfId="0" applyNumberFormat="1" applyFont="1" applyFill="1" applyBorder="1" applyAlignment="1">
      <alignment horizontal="right" wrapText="1"/>
    </xf>
    <xf numFmtId="170" fontId="0" fillId="0" borderId="14" xfId="0" applyNumberFormat="1" applyFont="1" applyBorder="1" applyAlignment="1">
      <alignment/>
    </xf>
    <xf numFmtId="170" fontId="0" fillId="0" borderId="41" xfId="0" applyNumberFormat="1" applyFont="1" applyBorder="1" applyAlignment="1">
      <alignment horizontal="center" vertical="center"/>
    </xf>
    <xf numFmtId="170" fontId="0" fillId="0" borderId="48" xfId="0" applyNumberFormat="1" applyFont="1" applyBorder="1" applyAlignment="1">
      <alignment/>
    </xf>
    <xf numFmtId="170" fontId="0" fillId="0" borderId="24" xfId="0" applyNumberFormat="1" applyFont="1" applyBorder="1" applyAlignment="1">
      <alignment horizontal="center" vertical="center"/>
    </xf>
    <xf numFmtId="170" fontId="0" fillId="0" borderId="16" xfId="0" applyNumberFormat="1" applyFont="1" applyBorder="1" applyAlignment="1">
      <alignment/>
    </xf>
    <xf numFmtId="170" fontId="0" fillId="0" borderId="11" xfId="0" applyNumberFormat="1" applyFont="1" applyBorder="1" applyAlignment="1">
      <alignment horizontal="center"/>
    </xf>
    <xf numFmtId="170" fontId="0" fillId="34" borderId="12" xfId="0" applyNumberFormat="1" applyFont="1" applyFill="1" applyBorder="1" applyAlignment="1">
      <alignment horizontal="right"/>
    </xf>
    <xf numFmtId="170" fontId="0" fillId="33" borderId="15" xfId="0" applyNumberFormat="1" applyFont="1" applyFill="1" applyBorder="1" applyAlignment="1">
      <alignment horizontal="center" wrapText="1"/>
    </xf>
    <xf numFmtId="170" fontId="0" fillId="34" borderId="13" xfId="0" applyNumberFormat="1" applyFont="1" applyFill="1" applyBorder="1" applyAlignment="1">
      <alignment horizontal="right"/>
    </xf>
    <xf numFmtId="170" fontId="0" fillId="0" borderId="24" xfId="0" applyNumberFormat="1" applyFont="1" applyBorder="1" applyAlignment="1">
      <alignment horizontal="center" vertical="center" wrapText="1"/>
    </xf>
    <xf numFmtId="170" fontId="0" fillId="33" borderId="13" xfId="0" applyNumberFormat="1" applyFont="1" applyFill="1" applyBorder="1" applyAlignment="1">
      <alignment horizontal="right" vertical="center" wrapText="1"/>
    </xf>
    <xf numFmtId="170" fontId="0" fillId="0" borderId="15" xfId="0" applyNumberFormat="1" applyFont="1" applyBorder="1" applyAlignment="1">
      <alignment horizontal="left"/>
    </xf>
    <xf numFmtId="170" fontId="0" fillId="0" borderId="40" xfId="0" applyNumberFormat="1" applyFont="1" applyBorder="1" applyAlignment="1">
      <alignment/>
    </xf>
    <xf numFmtId="170" fontId="0" fillId="0" borderId="17" xfId="0" applyNumberFormat="1" applyFont="1" applyFill="1" applyBorder="1" applyAlignment="1">
      <alignment/>
    </xf>
    <xf numFmtId="170" fontId="0" fillId="0" borderId="17" xfId="0" applyNumberFormat="1" applyFont="1" applyFill="1" applyBorder="1" applyAlignment="1">
      <alignment horizontal="center" vertical="center" wrapText="1"/>
    </xf>
    <xf numFmtId="170" fontId="0" fillId="33" borderId="22" xfId="0" applyNumberFormat="1" applyFont="1" applyFill="1" applyBorder="1" applyAlignment="1">
      <alignment horizontal="center" vertical="center" wrapText="1"/>
    </xf>
    <xf numFmtId="170" fontId="0" fillId="0" borderId="14" xfId="0" applyNumberFormat="1" applyFont="1" applyFill="1" applyBorder="1" applyAlignment="1">
      <alignment horizontal="center" vertical="center" wrapText="1"/>
    </xf>
    <xf numFmtId="170" fontId="0" fillId="34" borderId="10" xfId="0" applyNumberFormat="1" applyFont="1" applyFill="1" applyBorder="1" applyAlignment="1">
      <alignment horizontal="center"/>
    </xf>
    <xf numFmtId="170" fontId="0" fillId="34" borderId="10" xfId="0" applyNumberFormat="1" applyFont="1" applyFill="1" applyBorder="1" applyAlignment="1">
      <alignment horizontal="right"/>
    </xf>
    <xf numFmtId="170" fontId="0" fillId="34" borderId="24" xfId="0" applyNumberFormat="1" applyFont="1" applyFill="1" applyBorder="1" applyAlignment="1">
      <alignment horizontal="center"/>
    </xf>
    <xf numFmtId="170" fontId="0" fillId="34" borderId="24" xfId="0" applyNumberFormat="1" applyFont="1" applyFill="1" applyBorder="1" applyAlignment="1">
      <alignment horizontal="right"/>
    </xf>
    <xf numFmtId="170" fontId="1" fillId="0" borderId="24" xfId="0" applyNumberFormat="1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170" fontId="12" fillId="0" borderId="56" xfId="0" applyNumberFormat="1" applyFont="1" applyBorder="1" applyAlignment="1">
      <alignment horizontal="center" vertical="center"/>
    </xf>
    <xf numFmtId="170" fontId="1" fillId="0" borderId="19" xfId="0" applyNumberFormat="1" applyFont="1" applyBorder="1" applyAlignment="1">
      <alignment horizontal="center" vertical="center" wrapText="1"/>
    </xf>
    <xf numFmtId="170" fontId="3" fillId="0" borderId="0" xfId="0" applyNumberFormat="1" applyFont="1" applyFill="1" applyAlignment="1">
      <alignment/>
    </xf>
    <xf numFmtId="170" fontId="27" fillId="0" borderId="0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center" wrapText="1"/>
    </xf>
    <xf numFmtId="170" fontId="0" fillId="0" borderId="10" xfId="0" applyNumberFormat="1" applyFont="1" applyBorder="1" applyAlignment="1">
      <alignment horizontal="right" vertical="center"/>
    </xf>
    <xf numFmtId="170" fontId="3" fillId="0" borderId="10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vertical="top" wrapText="1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wrapText="1"/>
    </xf>
    <xf numFmtId="0" fontId="3" fillId="0" borderId="53" xfId="0" applyFont="1" applyBorder="1" applyAlignment="1">
      <alignment vertical="top"/>
    </xf>
    <xf numFmtId="180" fontId="3" fillId="0" borderId="0" xfId="0" applyNumberFormat="1" applyFont="1" applyBorder="1" applyAlignment="1">
      <alignment/>
    </xf>
    <xf numFmtId="0" fontId="3" fillId="0" borderId="48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170" fontId="3" fillId="0" borderId="14" xfId="0" applyNumberFormat="1" applyFont="1" applyBorder="1" applyAlignment="1">
      <alignment/>
    </xf>
    <xf numFmtId="170" fontId="3" fillId="0" borderId="41" xfId="0" applyNumberFormat="1" applyFont="1" applyBorder="1" applyAlignment="1">
      <alignment/>
    </xf>
    <xf numFmtId="180" fontId="2" fillId="0" borderId="0" xfId="0" applyNumberFormat="1" applyFont="1" applyAlignment="1">
      <alignment/>
    </xf>
    <xf numFmtId="170" fontId="2" fillId="0" borderId="10" xfId="0" applyNumberFormat="1" applyFont="1" applyBorder="1" applyAlignment="1">
      <alignment horizontal="right" wrapText="1"/>
    </xf>
    <xf numFmtId="170" fontId="0" fillId="35" borderId="40" xfId="0" applyNumberFormat="1" applyFont="1" applyFill="1" applyBorder="1" applyAlignment="1">
      <alignment horizontal="center" vertical="center"/>
    </xf>
    <xf numFmtId="170" fontId="0" fillId="35" borderId="41" xfId="0" applyNumberFormat="1" applyFont="1" applyFill="1" applyBorder="1" applyAlignment="1">
      <alignment vertical="center"/>
    </xf>
    <xf numFmtId="170" fontId="0" fillId="35" borderId="16" xfId="0" applyNumberFormat="1" applyFont="1" applyFill="1" applyBorder="1" applyAlignment="1">
      <alignment/>
    </xf>
    <xf numFmtId="170" fontId="3" fillId="0" borderId="16" xfId="0" applyNumberFormat="1" applyFont="1" applyBorder="1" applyAlignment="1">
      <alignment horizontal="right" vertical="center" wrapText="1"/>
    </xf>
    <xf numFmtId="170" fontId="24" fillId="0" borderId="35" xfId="0" applyNumberFormat="1" applyFont="1" applyBorder="1" applyAlignment="1">
      <alignment horizontal="center" vertical="center" wrapText="1"/>
    </xf>
    <xf numFmtId="170" fontId="0" fillId="0" borderId="22" xfId="0" applyNumberFormat="1" applyFont="1" applyFill="1" applyBorder="1" applyAlignment="1">
      <alignment horizontal="center" vertical="center"/>
    </xf>
    <xf numFmtId="170" fontId="0" fillId="35" borderId="11" xfId="0" applyNumberFormat="1" applyFont="1" applyFill="1" applyBorder="1" applyAlignment="1">
      <alignment horizontal="center" vertical="center"/>
    </xf>
    <xf numFmtId="170" fontId="0" fillId="35" borderId="14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 wrapText="1"/>
    </xf>
    <xf numFmtId="170" fontId="0" fillId="0" borderId="11" xfId="0" applyNumberFormat="1" applyFont="1" applyBorder="1" applyAlignment="1">
      <alignment horizontal="center" vertical="center" wrapText="1"/>
    </xf>
    <xf numFmtId="170" fontId="0" fillId="0" borderId="24" xfId="0" applyNumberFormat="1" applyFont="1" applyBorder="1" applyAlignment="1">
      <alignment/>
    </xf>
    <xf numFmtId="170" fontId="0" fillId="35" borderId="11" xfId="0" applyNumberFormat="1" applyFont="1" applyFill="1" applyBorder="1" applyAlignment="1">
      <alignment/>
    </xf>
    <xf numFmtId="170" fontId="0" fillId="35" borderId="11" xfId="0" applyNumberFormat="1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/>
    </xf>
    <xf numFmtId="170" fontId="11" fillId="0" borderId="0" xfId="0" applyNumberFormat="1" applyFont="1" applyBorder="1" applyAlignment="1">
      <alignment/>
    </xf>
    <xf numFmtId="170" fontId="24" fillId="0" borderId="10" xfId="0" applyNumberFormat="1" applyFont="1" applyBorder="1" applyAlignment="1">
      <alignment horizontal="center" vertical="center" wrapText="1"/>
    </xf>
    <xf numFmtId="170" fontId="22" fillId="0" borderId="22" xfId="0" applyNumberFormat="1" applyFont="1" applyFill="1" applyBorder="1" applyAlignment="1">
      <alignment horizontal="center"/>
    </xf>
    <xf numFmtId="170" fontId="0" fillId="34" borderId="14" xfId="0" applyNumberFormat="1" applyFont="1" applyFill="1" applyBorder="1" applyAlignment="1">
      <alignment horizontal="center" vertical="center" wrapText="1"/>
    </xf>
    <xf numFmtId="170" fontId="0" fillId="35" borderId="11" xfId="0" applyNumberFormat="1" applyFont="1" applyFill="1" applyBorder="1" applyAlignment="1">
      <alignment horizontal="center"/>
    </xf>
    <xf numFmtId="170" fontId="0" fillId="35" borderId="14" xfId="0" applyNumberFormat="1" applyFont="1" applyFill="1" applyBorder="1" applyAlignment="1">
      <alignment horizontal="center"/>
    </xf>
    <xf numFmtId="170" fontId="0" fillId="0" borderId="13" xfId="0" applyNumberFormat="1" applyFont="1" applyBorder="1" applyAlignment="1">
      <alignment horizontal="center" wrapText="1"/>
    </xf>
    <xf numFmtId="170" fontId="0" fillId="34" borderId="14" xfId="0" applyNumberFormat="1" applyFont="1" applyFill="1" applyBorder="1" applyAlignment="1">
      <alignment vertical="center" wrapText="1"/>
    </xf>
    <xf numFmtId="170" fontId="0" fillId="35" borderId="14" xfId="0" applyNumberFormat="1" applyFont="1" applyFill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0" fontId="3" fillId="0" borderId="53" xfId="0" applyFont="1" applyBorder="1" applyAlignment="1">
      <alignment horizontal="center" vertical="top"/>
    </xf>
    <xf numFmtId="170" fontId="0" fillId="0" borderId="0" xfId="0" applyNumberFormat="1" applyAlignment="1">
      <alignment horizontal="center" vertical="center" wrapText="1"/>
    </xf>
    <xf numFmtId="170" fontId="0" fillId="0" borderId="13" xfId="0" applyNumberFormat="1" applyBorder="1" applyAlignment="1">
      <alignment/>
    </xf>
    <xf numFmtId="170" fontId="3" fillId="0" borderId="0" xfId="0" applyNumberFormat="1" applyFont="1" applyAlignment="1">
      <alignment horizontal="center" vertical="center"/>
    </xf>
    <xf numFmtId="170" fontId="3" fillId="0" borderId="0" xfId="0" applyNumberFormat="1" applyFont="1" applyAlignment="1">
      <alignment vertical="center" wrapText="1"/>
    </xf>
    <xf numFmtId="170" fontId="39" fillId="0" borderId="0" xfId="0" applyNumberFormat="1" applyFont="1" applyAlignment="1">
      <alignment/>
    </xf>
    <xf numFmtId="170" fontId="0" fillId="33" borderId="0" xfId="0" applyNumberFormat="1" applyFill="1" applyAlignment="1">
      <alignment/>
    </xf>
    <xf numFmtId="170" fontId="0" fillId="0" borderId="0" xfId="0" applyNumberFormat="1" applyFill="1" applyAlignment="1">
      <alignment/>
    </xf>
    <xf numFmtId="170" fontId="0" fillId="0" borderId="0" xfId="0" applyNumberFormat="1" applyAlignment="1">
      <alignment vertical="top"/>
    </xf>
    <xf numFmtId="0" fontId="3" fillId="0" borderId="53" xfId="0" applyFont="1" applyBorder="1" applyAlignment="1">
      <alignment horizontal="center" vertical="top" wrapText="1"/>
    </xf>
    <xf numFmtId="0" fontId="3" fillId="0" borderId="53" xfId="0" applyFont="1" applyBorder="1" applyAlignment="1">
      <alignment horizontal="right" vertical="top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170" fontId="3" fillId="0" borderId="0" xfId="0" applyNumberFormat="1" applyFont="1" applyBorder="1" applyAlignment="1">
      <alignment horizontal="center" vertical="center" wrapText="1"/>
    </xf>
    <xf numFmtId="170" fontId="0" fillId="0" borderId="16" xfId="0" applyNumberFormat="1" applyFont="1" applyBorder="1" applyAlignment="1">
      <alignment horizontal="center" vertical="center"/>
    </xf>
    <xf numFmtId="170" fontId="0" fillId="35" borderId="10" xfId="0" applyNumberFormat="1" applyFont="1" applyFill="1" applyBorder="1" applyAlignment="1">
      <alignment horizontal="center" vertical="center"/>
    </xf>
    <xf numFmtId="170" fontId="2" fillId="0" borderId="19" xfId="0" applyNumberFormat="1" applyFont="1" applyBorder="1" applyAlignment="1">
      <alignment/>
    </xf>
    <xf numFmtId="170" fontId="2" fillId="0" borderId="10" xfId="0" applyNumberFormat="1" applyFont="1" applyBorder="1" applyAlignment="1">
      <alignment horizontal="right"/>
    </xf>
    <xf numFmtId="170" fontId="2" fillId="0" borderId="10" xfId="0" applyNumberFormat="1" applyFont="1" applyBorder="1" applyAlignment="1">
      <alignment vertical="center"/>
    </xf>
    <xf numFmtId="170" fontId="2" fillId="0" borderId="10" xfId="0" applyNumberFormat="1" applyFont="1" applyFill="1" applyBorder="1" applyAlignment="1">
      <alignment/>
    </xf>
    <xf numFmtId="170" fontId="2" fillId="0" borderId="10" xfId="0" applyNumberFormat="1" applyFont="1" applyBorder="1" applyAlignment="1">
      <alignment horizontal="center"/>
    </xf>
    <xf numFmtId="170" fontId="2" fillId="0" borderId="47" xfId="0" applyNumberFormat="1" applyFont="1" applyBorder="1" applyAlignment="1">
      <alignment horizontal="right" vertical="top" wrapText="1"/>
    </xf>
    <xf numFmtId="170" fontId="2" fillId="0" borderId="44" xfId="0" applyNumberFormat="1" applyFont="1" applyBorder="1" applyAlignment="1">
      <alignment horizontal="center" vertical="center" wrapText="1"/>
    </xf>
    <xf numFmtId="170" fontId="2" fillId="0" borderId="44" xfId="0" applyNumberFormat="1" applyFont="1" applyBorder="1" applyAlignment="1">
      <alignment horizontal="right" vertical="center" wrapText="1"/>
    </xf>
    <xf numFmtId="170" fontId="2" fillId="0" borderId="44" xfId="0" applyNumberFormat="1" applyFont="1" applyBorder="1" applyAlignment="1">
      <alignment horizontal="right" vertical="top" wrapText="1"/>
    </xf>
    <xf numFmtId="170" fontId="2" fillId="0" borderId="19" xfId="0" applyNumberFormat="1" applyFont="1" applyBorder="1" applyAlignment="1">
      <alignment horizontal="center" vertical="center" wrapText="1"/>
    </xf>
    <xf numFmtId="0" fontId="11" fillId="33" borderId="39" xfId="0" applyFont="1" applyFill="1" applyBorder="1" applyAlignment="1">
      <alignment horizontal="center" wrapText="1"/>
    </xf>
    <xf numFmtId="170" fontId="0" fillId="33" borderId="10" xfId="0" applyNumberFormat="1" applyFont="1" applyFill="1" applyBorder="1" applyAlignment="1">
      <alignment vertical="center" wrapText="1"/>
    </xf>
    <xf numFmtId="170" fontId="0" fillId="33" borderId="24" xfId="0" applyNumberFormat="1" applyFont="1" applyFill="1" applyBorder="1" applyAlignment="1">
      <alignment vertical="center" wrapText="1"/>
    </xf>
    <xf numFmtId="170" fontId="0" fillId="33" borderId="16" xfId="0" applyNumberFormat="1" applyFont="1" applyFill="1" applyBorder="1" applyAlignment="1">
      <alignment vertical="center"/>
    </xf>
    <xf numFmtId="170" fontId="0" fillId="33" borderId="24" xfId="0" applyNumberFormat="1" applyFont="1" applyFill="1" applyBorder="1" applyAlignment="1">
      <alignment vertical="center"/>
    </xf>
    <xf numFmtId="170" fontId="0" fillId="33" borderId="10" xfId="0" applyNumberFormat="1" applyFont="1" applyFill="1" applyBorder="1" applyAlignment="1">
      <alignment vertical="center"/>
    </xf>
    <xf numFmtId="170" fontId="0" fillId="33" borderId="46" xfId="0" applyNumberFormat="1" applyFont="1" applyFill="1" applyBorder="1" applyAlignment="1">
      <alignment vertical="center"/>
    </xf>
    <xf numFmtId="171" fontId="0" fillId="0" borderId="0" xfId="0" applyNumberFormat="1" applyFont="1" applyBorder="1" applyAlignment="1">
      <alignment/>
    </xf>
    <xf numFmtId="0" fontId="29" fillId="33" borderId="39" xfId="0" applyFont="1" applyFill="1" applyBorder="1" applyAlignment="1">
      <alignment horizontal="center" wrapText="1"/>
    </xf>
    <xf numFmtId="170" fontId="1" fillId="0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2" fillId="33" borderId="39" xfId="0" applyFont="1" applyFill="1" applyBorder="1" applyAlignment="1">
      <alignment horizontal="center" wrapText="1"/>
    </xf>
    <xf numFmtId="170" fontId="1" fillId="33" borderId="10" xfId="0" applyNumberFormat="1" applyFont="1" applyFill="1" applyBorder="1" applyAlignment="1">
      <alignment vertical="center" wrapText="1"/>
    </xf>
    <xf numFmtId="170" fontId="1" fillId="33" borderId="24" xfId="0" applyNumberFormat="1" applyFont="1" applyFill="1" applyBorder="1" applyAlignment="1">
      <alignment vertical="center" wrapText="1"/>
    </xf>
    <xf numFmtId="170" fontId="1" fillId="33" borderId="16" xfId="0" applyNumberFormat="1" applyFont="1" applyFill="1" applyBorder="1" applyAlignment="1">
      <alignment vertical="center"/>
    </xf>
    <xf numFmtId="170" fontId="1" fillId="33" borderId="53" xfId="0" applyNumberFormat="1" applyFont="1" applyFill="1" applyBorder="1" applyAlignment="1">
      <alignment vertical="center" wrapText="1"/>
    </xf>
    <xf numFmtId="170" fontId="1" fillId="33" borderId="46" xfId="0" applyNumberFormat="1" applyFont="1" applyFill="1" applyBorder="1" applyAlignment="1">
      <alignment vertical="center"/>
    </xf>
    <xf numFmtId="180" fontId="0" fillId="0" borderId="10" xfId="0" applyNumberFormat="1" applyFont="1" applyBorder="1" applyAlignment="1">
      <alignment horizontal="right" vertical="top"/>
    </xf>
    <xf numFmtId="0" fontId="11" fillId="0" borderId="14" xfId="0" applyFont="1" applyBorder="1" applyAlignment="1">
      <alignment horizontal="center" vertical="center" wrapText="1"/>
    </xf>
    <xf numFmtId="180" fontId="0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/>
    </xf>
    <xf numFmtId="170" fontId="1" fillId="0" borderId="36" xfId="0" applyNumberFormat="1" applyFont="1" applyBorder="1" applyAlignment="1">
      <alignment vertical="center" wrapText="1"/>
    </xf>
    <xf numFmtId="170" fontId="27" fillId="33" borderId="41" xfId="0" applyNumberFormat="1" applyFont="1" applyFill="1" applyBorder="1" applyAlignment="1">
      <alignment vertical="center" wrapText="1"/>
    </xf>
    <xf numFmtId="180" fontId="0" fillId="0" borderId="11" xfId="0" applyNumberFormat="1" applyFont="1" applyBorder="1" applyAlignment="1">
      <alignment horizontal="right"/>
    </xf>
    <xf numFmtId="170" fontId="3" fillId="0" borderId="10" xfId="0" applyNumberFormat="1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70" fontId="3" fillId="0" borderId="10" xfId="0" applyNumberFormat="1" applyFont="1" applyFill="1" applyBorder="1" applyAlignment="1">
      <alignment vertical="center"/>
    </xf>
    <xf numFmtId="180" fontId="3" fillId="0" borderId="1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center" wrapText="1"/>
    </xf>
    <xf numFmtId="169" fontId="3" fillId="0" borderId="10" xfId="0" applyNumberFormat="1" applyFont="1" applyBorder="1" applyAlignment="1">
      <alignment horizontal="right" vertical="center"/>
    </xf>
    <xf numFmtId="170" fontId="2" fillId="0" borderId="1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170" fontId="0" fillId="0" borderId="10" xfId="0" applyNumberFormat="1" applyFont="1" applyFill="1" applyBorder="1" applyAlignment="1">
      <alignment vertical="center"/>
    </xf>
    <xf numFmtId="170" fontId="24" fillId="0" borderId="43" xfId="0" applyNumberFormat="1" applyFont="1" applyBorder="1" applyAlignment="1">
      <alignment horizontal="center" wrapText="1"/>
    </xf>
    <xf numFmtId="170" fontId="24" fillId="0" borderId="0" xfId="0" applyNumberFormat="1" applyFont="1" applyBorder="1" applyAlignment="1">
      <alignment vertical="top" wrapText="1"/>
    </xf>
    <xf numFmtId="170" fontId="35" fillId="0" borderId="0" xfId="0" applyNumberFormat="1" applyFont="1" applyBorder="1" applyAlignment="1">
      <alignment vertical="center"/>
    </xf>
    <xf numFmtId="170" fontId="2" fillId="0" borderId="44" xfId="0" applyNumberFormat="1" applyFont="1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vertical="center"/>
    </xf>
    <xf numFmtId="0" fontId="3" fillId="0" borderId="53" xfId="0" applyFont="1" applyFill="1" applyBorder="1" applyAlignment="1">
      <alignment vertical="center" wrapText="1"/>
    </xf>
    <xf numFmtId="170" fontId="3" fillId="0" borderId="16" xfId="0" applyNumberFormat="1" applyFont="1" applyFill="1" applyBorder="1" applyAlignment="1">
      <alignment vertical="center"/>
    </xf>
    <xf numFmtId="170" fontId="2" fillId="0" borderId="10" xfId="0" applyNumberFormat="1" applyFont="1" applyFill="1" applyBorder="1" applyAlignment="1">
      <alignment vertical="top" wrapText="1"/>
    </xf>
    <xf numFmtId="170" fontId="0" fillId="0" borderId="48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/>
    </xf>
    <xf numFmtId="170" fontId="0" fillId="33" borderId="12" xfId="0" applyNumberFormat="1" applyFont="1" applyFill="1" applyBorder="1" applyAlignment="1">
      <alignment horizontal="center" vertical="center" wrapText="1"/>
    </xf>
    <xf numFmtId="170" fontId="0" fillId="0" borderId="41" xfId="0" applyNumberFormat="1" applyFont="1" applyBorder="1" applyAlignment="1">
      <alignment/>
    </xf>
    <xf numFmtId="170" fontId="0" fillId="35" borderId="15" xfId="0" applyNumberFormat="1" applyFont="1" applyFill="1" applyBorder="1" applyAlignment="1">
      <alignment horizontal="center" vertical="center"/>
    </xf>
    <xf numFmtId="170" fontId="0" fillId="35" borderId="48" xfId="0" applyNumberFormat="1" applyFont="1" applyFill="1" applyBorder="1" applyAlignment="1">
      <alignment horizontal="center" vertical="center"/>
    </xf>
    <xf numFmtId="170" fontId="0" fillId="35" borderId="17" xfId="0" applyNumberFormat="1" applyFont="1" applyFill="1" applyBorder="1" applyAlignment="1">
      <alignment horizontal="center" vertical="top"/>
    </xf>
    <xf numFmtId="170" fontId="0" fillId="33" borderId="24" xfId="0" applyNumberFormat="1" applyFont="1" applyFill="1" applyBorder="1" applyAlignment="1">
      <alignment horizontal="center"/>
    </xf>
    <xf numFmtId="170" fontId="0" fillId="33" borderId="24" xfId="0" applyNumberFormat="1" applyFont="1" applyFill="1" applyBorder="1" applyAlignment="1">
      <alignment horizontal="right"/>
    </xf>
    <xf numFmtId="0" fontId="0" fillId="0" borderId="24" xfId="0" applyNumberFormat="1" applyFont="1" applyFill="1" applyBorder="1" applyAlignment="1">
      <alignment horizontal="center" vertical="center" wrapText="1"/>
    </xf>
    <xf numFmtId="170" fontId="0" fillId="0" borderId="24" xfId="0" applyNumberFormat="1" applyFont="1" applyFill="1" applyBorder="1" applyAlignment="1">
      <alignment horizontal="center" vertical="center"/>
    </xf>
    <xf numFmtId="170" fontId="1" fillId="33" borderId="10" xfId="0" applyNumberFormat="1" applyFont="1" applyFill="1" applyBorder="1" applyAlignment="1">
      <alignment vertical="center"/>
    </xf>
    <xf numFmtId="170" fontId="35" fillId="0" borderId="19" xfId="0" applyNumberFormat="1" applyFont="1" applyBorder="1" applyAlignment="1">
      <alignment horizontal="left" vertical="center" wrapText="1"/>
    </xf>
    <xf numFmtId="170" fontId="35" fillId="0" borderId="57" xfId="0" applyNumberFormat="1" applyFont="1" applyBorder="1" applyAlignment="1">
      <alignment vertical="center"/>
    </xf>
    <xf numFmtId="170" fontId="35" fillId="0" borderId="58" xfId="0" applyNumberFormat="1" applyFont="1" applyBorder="1" applyAlignment="1">
      <alignment horizontal="left" vertical="center" wrapText="1"/>
    </xf>
    <xf numFmtId="170" fontId="3" fillId="0" borderId="14" xfId="0" applyNumberFormat="1" applyFont="1" applyBorder="1" applyAlignment="1">
      <alignment horizontal="center" vertical="center" wrapText="1"/>
    </xf>
    <xf numFmtId="170" fontId="1" fillId="0" borderId="19" xfId="0" applyNumberFormat="1" applyFont="1" applyBorder="1" applyAlignment="1">
      <alignment vertical="top" wrapText="1"/>
    </xf>
    <xf numFmtId="170" fontId="35" fillId="0" borderId="27" xfId="0" applyNumberFormat="1" applyFont="1" applyBorder="1" applyAlignment="1">
      <alignment vertical="center"/>
    </xf>
    <xf numFmtId="170" fontId="35" fillId="0" borderId="24" xfId="0" applyNumberFormat="1" applyFont="1" applyBorder="1" applyAlignment="1">
      <alignment vertical="center"/>
    </xf>
    <xf numFmtId="170" fontId="35" fillId="0" borderId="59" xfId="0" applyNumberFormat="1" applyFont="1" applyBorder="1" applyAlignment="1">
      <alignment horizontal="left" vertical="center" wrapText="1"/>
    </xf>
    <xf numFmtId="170" fontId="0" fillId="0" borderId="14" xfId="0" applyNumberFormat="1" applyFont="1" applyBorder="1" applyAlignment="1">
      <alignment horizontal="center" vertical="center" wrapText="1"/>
    </xf>
    <xf numFmtId="170" fontId="28" fillId="0" borderId="11" xfId="0" applyNumberFormat="1" applyFont="1" applyBorder="1" applyAlignment="1">
      <alignment horizontal="right"/>
    </xf>
    <xf numFmtId="0" fontId="22" fillId="0" borderId="14" xfId="0" applyFont="1" applyBorder="1" applyAlignment="1">
      <alignment/>
    </xf>
    <xf numFmtId="170" fontId="3" fillId="0" borderId="15" xfId="0" applyNumberFormat="1" applyFont="1" applyBorder="1" applyAlignment="1">
      <alignment horizontal="right" vertical="top" wrapText="1"/>
    </xf>
    <xf numFmtId="180" fontId="2" fillId="0" borderId="0" xfId="0" applyNumberFormat="1" applyFont="1" applyBorder="1" applyAlignment="1">
      <alignment/>
    </xf>
    <xf numFmtId="170" fontId="0" fillId="0" borderId="10" xfId="0" applyNumberFormat="1" applyFont="1" applyFill="1" applyBorder="1" applyAlignment="1">
      <alignment horizontal="left" wrapText="1"/>
    </xf>
    <xf numFmtId="20" fontId="3" fillId="0" borderId="10" xfId="0" applyNumberFormat="1" applyFont="1" applyBorder="1" applyAlignment="1" quotePrefix="1">
      <alignment horizontal="right"/>
    </xf>
    <xf numFmtId="0" fontId="3" fillId="0" borderId="10" xfId="0" applyNumberFormat="1" applyFont="1" applyBorder="1" applyAlignment="1" quotePrefix="1">
      <alignment horizontal="right"/>
    </xf>
    <xf numFmtId="0" fontId="3" fillId="0" borderId="10" xfId="0" applyFont="1" applyBorder="1" applyAlignment="1" quotePrefix="1">
      <alignment horizontal="right"/>
    </xf>
    <xf numFmtId="180" fontId="3" fillId="0" borderId="0" xfId="0" applyNumberFormat="1" applyFont="1" applyAlignment="1">
      <alignment horizontal="center" vertical="center"/>
    </xf>
    <xf numFmtId="170" fontId="16" fillId="0" borderId="0" xfId="0" applyNumberFormat="1" applyFont="1" applyAlignment="1">
      <alignment/>
    </xf>
    <xf numFmtId="171" fontId="9" fillId="0" borderId="0" xfId="0" applyNumberFormat="1" applyFont="1" applyAlignment="1">
      <alignment/>
    </xf>
    <xf numFmtId="0" fontId="2" fillId="0" borderId="53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4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11" fillId="0" borderId="11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44" fontId="3" fillId="0" borderId="0" xfId="0" applyNumberFormat="1" applyFont="1" applyBorder="1" applyAlignment="1">
      <alignment/>
    </xf>
    <xf numFmtId="44" fontId="3" fillId="0" borderId="0" xfId="0" applyNumberFormat="1" applyFont="1" applyAlignment="1">
      <alignment/>
    </xf>
    <xf numFmtId="44" fontId="22" fillId="0" borderId="0" xfId="0" applyNumberFormat="1" applyFont="1" applyBorder="1" applyAlignment="1">
      <alignment/>
    </xf>
    <xf numFmtId="170" fontId="3" fillId="0" borderId="10" xfId="0" applyNumberFormat="1" applyFont="1" applyBorder="1" applyAlignment="1">
      <alignment horizontal="center" vertical="top"/>
    </xf>
    <xf numFmtId="44" fontId="9" fillId="0" borderId="0" xfId="0" applyNumberFormat="1" applyFont="1" applyAlignment="1">
      <alignment/>
    </xf>
    <xf numFmtId="170" fontId="40" fillId="33" borderId="10" xfId="0" applyNumberFormat="1" applyFont="1" applyFill="1" applyBorder="1" applyAlignment="1">
      <alignment vertical="center" wrapText="1"/>
    </xf>
    <xf numFmtId="44" fontId="1" fillId="0" borderId="0" xfId="0" applyNumberFormat="1" applyFont="1" applyAlignment="1">
      <alignment/>
    </xf>
    <xf numFmtId="0" fontId="3" fillId="0" borderId="24" xfId="0" applyFont="1" applyBorder="1" applyAlignment="1">
      <alignment horizontal="right" vertical="center" wrapText="1"/>
    </xf>
    <xf numFmtId="0" fontId="3" fillId="0" borderId="53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31" fillId="0" borderId="60" xfId="0" applyFont="1" applyBorder="1" applyAlignment="1">
      <alignment horizontal="center"/>
    </xf>
    <xf numFmtId="0" fontId="31" fillId="0" borderId="61" xfId="0" applyFont="1" applyBorder="1" applyAlignment="1">
      <alignment horizontal="center"/>
    </xf>
    <xf numFmtId="0" fontId="31" fillId="0" borderId="62" xfId="0" applyFont="1" applyBorder="1" applyAlignment="1">
      <alignment horizontal="center"/>
    </xf>
    <xf numFmtId="170" fontId="3" fillId="0" borderId="11" xfId="0" applyNumberFormat="1" applyFont="1" applyBorder="1" applyAlignment="1">
      <alignment horizontal="center" vertical="center"/>
    </xf>
    <xf numFmtId="170" fontId="3" fillId="0" borderId="14" xfId="0" applyNumberFormat="1" applyFont="1" applyBorder="1" applyAlignment="1">
      <alignment horizontal="center" vertical="center"/>
    </xf>
    <xf numFmtId="170" fontId="11" fillId="0" borderId="53" xfId="0" applyNumberFormat="1" applyFont="1" applyFill="1" applyBorder="1" applyAlignment="1">
      <alignment horizontal="center" vertical="center"/>
    </xf>
    <xf numFmtId="170" fontId="11" fillId="0" borderId="16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right" vertical="center" wrapText="1"/>
    </xf>
    <xf numFmtId="0" fontId="2" fillId="0" borderId="53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3" fillId="0" borderId="0" xfId="0" applyFont="1" applyBorder="1" applyAlignment="1">
      <alignment horizontal="left" wrapText="1"/>
    </xf>
    <xf numFmtId="169" fontId="3" fillId="0" borderId="11" xfId="0" applyNumberFormat="1" applyFont="1" applyBorder="1" applyAlignment="1">
      <alignment horizontal="center" vertical="center"/>
    </xf>
    <xf numFmtId="169" fontId="3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1" fillId="0" borderId="60" xfId="0" applyFont="1" applyBorder="1" applyAlignment="1">
      <alignment horizontal="center" wrapText="1"/>
    </xf>
    <xf numFmtId="0" fontId="31" fillId="0" borderId="61" xfId="0" applyFont="1" applyBorder="1" applyAlignment="1">
      <alignment horizontal="center" wrapText="1"/>
    </xf>
    <xf numFmtId="0" fontId="31" fillId="0" borderId="62" xfId="0" applyFont="1" applyBorder="1" applyAlignment="1">
      <alignment horizontal="center" wrapText="1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" fillId="0" borderId="24" xfId="0" applyFont="1" applyBorder="1" applyAlignment="1">
      <alignment horizontal="right"/>
    </xf>
    <xf numFmtId="0" fontId="1" fillId="0" borderId="53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2" fillId="0" borderId="53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3" fillId="0" borderId="53" xfId="0" applyFont="1" applyBorder="1" applyAlignment="1">
      <alignment vertical="center" wrapText="1"/>
    </xf>
    <xf numFmtId="0" fontId="0" fillId="0" borderId="53" xfId="0" applyFont="1" applyBorder="1" applyAlignment="1">
      <alignment vertical="center"/>
    </xf>
    <xf numFmtId="0" fontId="2" fillId="0" borderId="0" xfId="0" applyFont="1" applyAlignment="1">
      <alignment horizontal="left" wrapText="1"/>
    </xf>
    <xf numFmtId="0" fontId="5" fillId="0" borderId="0" xfId="0" applyFont="1" applyBorder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justify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38" xfId="0" applyFont="1" applyBorder="1" applyAlignment="1">
      <alignment horizontal="right"/>
    </xf>
    <xf numFmtId="0" fontId="2" fillId="0" borderId="35" xfId="0" applyFont="1" applyBorder="1" applyAlignment="1">
      <alignment horizontal="right"/>
    </xf>
    <xf numFmtId="169" fontId="0" fillId="0" borderId="11" xfId="0" applyNumberFormat="1" applyFont="1" applyBorder="1" applyAlignment="1">
      <alignment horizontal="center" vertical="center" wrapText="1"/>
    </xf>
    <xf numFmtId="169" fontId="0" fillId="0" borderId="14" xfId="0" applyNumberFormat="1" applyFont="1" applyBorder="1" applyAlignment="1">
      <alignment horizontal="center" vertical="center" wrapText="1"/>
    </xf>
    <xf numFmtId="169" fontId="3" fillId="0" borderId="11" xfId="0" applyNumberFormat="1" applyFont="1" applyBorder="1" applyAlignment="1">
      <alignment horizontal="center" vertical="center" wrapText="1"/>
    </xf>
    <xf numFmtId="169" fontId="3" fillId="0" borderId="14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2" fillId="0" borderId="2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24" xfId="0" applyFont="1" applyBorder="1" applyAlignment="1">
      <alignment horizontal="right"/>
    </xf>
    <xf numFmtId="0" fontId="3" fillId="0" borderId="53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169" fontId="3" fillId="0" borderId="1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170" fontId="3" fillId="0" borderId="10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3" fillId="0" borderId="12" xfId="0" applyFont="1" applyBorder="1" applyAlignment="1">
      <alignment vertical="center" wrapText="1"/>
    </xf>
    <xf numFmtId="0" fontId="12" fillId="0" borderId="40" xfId="0" applyFont="1" applyBorder="1" applyAlignment="1">
      <alignment horizontal="right"/>
    </xf>
    <xf numFmtId="0" fontId="12" fillId="0" borderId="12" xfId="0" applyFont="1" applyBorder="1" applyAlignment="1">
      <alignment horizontal="right"/>
    </xf>
    <xf numFmtId="0" fontId="12" fillId="0" borderId="15" xfId="0" applyFont="1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0" xfId="0" applyFont="1" applyBorder="1" applyAlignment="1">
      <alignment horizontal="right"/>
    </xf>
    <xf numFmtId="0" fontId="3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left"/>
    </xf>
    <xf numFmtId="0" fontId="5" fillId="0" borderId="0" xfId="0" applyFont="1" applyAlignment="1">
      <alignment vertical="top" wrapText="1"/>
    </xf>
    <xf numFmtId="0" fontId="3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17" fillId="0" borderId="0" xfId="0" applyFont="1" applyAlignment="1">
      <alignment horizontal="left" vertical="center" wrapText="1"/>
    </xf>
    <xf numFmtId="0" fontId="19" fillId="0" borderId="63" xfId="0" applyFont="1" applyBorder="1" applyAlignment="1">
      <alignment horizontal="center"/>
    </xf>
    <xf numFmtId="0" fontId="19" fillId="0" borderId="64" xfId="0" applyFont="1" applyBorder="1" applyAlignment="1">
      <alignment horizontal="center"/>
    </xf>
    <xf numFmtId="0" fontId="19" fillId="0" borderId="65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3" fillId="0" borderId="20" xfId="0" applyFont="1" applyBorder="1" applyAlignment="1">
      <alignment horizontal="left"/>
    </xf>
    <xf numFmtId="0" fontId="23" fillId="0" borderId="51" xfId="0" applyFont="1" applyBorder="1" applyAlignment="1">
      <alignment horizontal="left"/>
    </xf>
    <xf numFmtId="0" fontId="3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53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5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8" fillId="0" borderId="66" xfId="0" applyFont="1" applyBorder="1" applyAlignment="1">
      <alignment horizontal="center"/>
    </xf>
    <xf numFmtId="0" fontId="8" fillId="0" borderId="67" xfId="0" applyFont="1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left"/>
    </xf>
    <xf numFmtId="170" fontId="3" fillId="0" borderId="11" xfId="0" applyNumberFormat="1" applyFont="1" applyBorder="1" applyAlignment="1">
      <alignment horizontal="center" vertical="center" wrapText="1"/>
    </xf>
    <xf numFmtId="170" fontId="3" fillId="0" borderId="1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40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41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48" xfId="0" applyFont="1" applyBorder="1" applyAlignment="1">
      <alignment horizontal="right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33" fillId="0" borderId="24" xfId="0" applyFont="1" applyBorder="1" applyAlignment="1">
      <alignment horizontal="center"/>
    </xf>
    <xf numFmtId="0" fontId="33" fillId="0" borderId="53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4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2" fillId="0" borderId="60" xfId="0" applyFont="1" applyBorder="1" applyAlignment="1">
      <alignment horizontal="center"/>
    </xf>
    <xf numFmtId="0" fontId="32" fillId="0" borderId="61" xfId="0" applyFont="1" applyBorder="1" applyAlignment="1">
      <alignment horizontal="center"/>
    </xf>
    <xf numFmtId="0" fontId="32" fillId="0" borderId="62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1" fillId="0" borderId="17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 textRotation="255" wrapText="1"/>
    </xf>
    <xf numFmtId="0" fontId="3" fillId="0" borderId="17" xfId="0" applyFont="1" applyBorder="1" applyAlignment="1">
      <alignment horizontal="center" vertical="center" textRotation="255" wrapText="1"/>
    </xf>
    <xf numFmtId="0" fontId="3" fillId="0" borderId="14" xfId="0" applyFont="1" applyBorder="1" applyAlignment="1">
      <alignment horizontal="center" vertical="center" textRotation="255" wrapText="1"/>
    </xf>
    <xf numFmtId="0" fontId="2" fillId="0" borderId="24" xfId="0" applyFont="1" applyBorder="1" applyAlignment="1">
      <alignment horizontal="right" vertical="top"/>
    </xf>
    <xf numFmtId="0" fontId="2" fillId="0" borderId="53" xfId="0" applyFont="1" applyBorder="1" applyAlignment="1">
      <alignment horizontal="right" vertical="top"/>
    </xf>
    <xf numFmtId="0" fontId="2" fillId="0" borderId="16" xfId="0" applyFont="1" applyBorder="1" applyAlignment="1">
      <alignment horizontal="right" vertical="top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top"/>
    </xf>
    <xf numFmtId="0" fontId="3" fillId="0" borderId="53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2" fillId="0" borderId="2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top"/>
    </xf>
    <xf numFmtId="169" fontId="3" fillId="0" borderId="10" xfId="0" applyNumberFormat="1" applyFont="1" applyBorder="1" applyAlignment="1">
      <alignment horizontal="center" vertical="center" wrapText="1"/>
    </xf>
    <xf numFmtId="0" fontId="0" fillId="0" borderId="24" xfId="0" applyFill="1" applyBorder="1" applyAlignment="1">
      <alignment horizontal="right" vertical="center" wrapText="1"/>
    </xf>
    <xf numFmtId="0" fontId="0" fillId="0" borderId="53" xfId="0" applyFill="1" applyBorder="1" applyAlignment="1">
      <alignment horizontal="right" vertical="center" wrapText="1"/>
    </xf>
    <xf numFmtId="0" fontId="0" fillId="0" borderId="16" xfId="0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right"/>
    </xf>
    <xf numFmtId="0" fontId="12" fillId="0" borderId="53" xfId="0" applyFont="1" applyBorder="1" applyAlignment="1">
      <alignment horizontal="right"/>
    </xf>
    <xf numFmtId="0" fontId="12" fillId="0" borderId="16" xfId="0" applyFont="1" applyBorder="1" applyAlignment="1">
      <alignment horizontal="right"/>
    </xf>
    <xf numFmtId="0" fontId="3" fillId="0" borderId="0" xfId="0" applyFont="1" applyBorder="1" applyAlignment="1">
      <alignment horizontal="left" vertical="top" wrapText="1"/>
    </xf>
    <xf numFmtId="0" fontId="0" fillId="0" borderId="12" xfId="0" applyBorder="1" applyAlignment="1">
      <alignment vertical="center" wrapText="1"/>
    </xf>
    <xf numFmtId="0" fontId="12" fillId="0" borderId="10" xfId="0" applyFont="1" applyBorder="1" applyAlignment="1">
      <alignment horizontal="center"/>
    </xf>
    <xf numFmtId="0" fontId="3" fillId="0" borderId="4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0" fillId="0" borderId="24" xfId="0" applyBorder="1" applyAlignment="1">
      <alignment horizontal="right" vertical="center" wrapText="1"/>
    </xf>
    <xf numFmtId="0" fontId="0" fillId="0" borderId="53" xfId="0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0" fontId="38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24" xfId="0" applyFont="1" applyBorder="1" applyAlignment="1">
      <alignment horizontal="right" vertical="top" wrapText="1"/>
    </xf>
    <xf numFmtId="0" fontId="3" fillId="0" borderId="53" xfId="0" applyFont="1" applyBorder="1" applyAlignment="1">
      <alignment horizontal="right" vertical="top" wrapText="1"/>
    </xf>
    <xf numFmtId="0" fontId="3" fillId="0" borderId="16" xfId="0" applyFont="1" applyBorder="1" applyAlignment="1">
      <alignment horizontal="right" vertical="top" wrapText="1"/>
    </xf>
    <xf numFmtId="169" fontId="0" fillId="0" borderId="10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2" fillId="0" borderId="24" xfId="0" applyFont="1" applyBorder="1" applyAlignment="1">
      <alignment horizontal="left"/>
    </xf>
    <xf numFmtId="0" fontId="2" fillId="0" borderId="53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right"/>
    </xf>
    <xf numFmtId="0" fontId="12" fillId="0" borderId="51" xfId="0" applyFont="1" applyBorder="1" applyAlignment="1">
      <alignment horizontal="right"/>
    </xf>
    <xf numFmtId="0" fontId="12" fillId="0" borderId="18" xfId="0" applyFont="1" applyBorder="1" applyAlignment="1">
      <alignment horizontal="right"/>
    </xf>
    <xf numFmtId="0" fontId="35" fillId="0" borderId="10" xfId="0" applyFont="1" applyBorder="1" applyAlignment="1">
      <alignment horizontal="right"/>
    </xf>
    <xf numFmtId="0" fontId="3" fillId="0" borderId="1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12" fillId="0" borderId="58" xfId="0" applyFont="1" applyBorder="1" applyAlignment="1">
      <alignment vertical="center" wrapText="1"/>
    </xf>
    <xf numFmtId="0" fontId="12" fillId="0" borderId="54" xfId="0" applyFont="1" applyBorder="1" applyAlignment="1">
      <alignment vertical="center" wrapText="1"/>
    </xf>
    <xf numFmtId="0" fontId="12" fillId="0" borderId="69" xfId="0" applyFont="1" applyBorder="1" applyAlignment="1">
      <alignment vertical="center" wrapText="1"/>
    </xf>
    <xf numFmtId="170" fontId="35" fillId="0" borderId="36" xfId="0" applyNumberFormat="1" applyFont="1" applyBorder="1" applyAlignment="1">
      <alignment horizontal="center" vertical="center" wrapText="1"/>
    </xf>
    <xf numFmtId="170" fontId="35" fillId="0" borderId="69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wrapText="1"/>
    </xf>
    <xf numFmtId="0" fontId="12" fillId="0" borderId="51" xfId="0" applyFont="1" applyBorder="1" applyAlignment="1">
      <alignment horizont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170" fontId="0" fillId="0" borderId="11" xfId="0" applyNumberFormat="1" applyFont="1" applyBorder="1" applyAlignment="1">
      <alignment horizontal="center" wrapText="1"/>
    </xf>
    <xf numFmtId="170" fontId="0" fillId="0" borderId="17" xfId="0" applyNumberFormat="1" applyFont="1" applyBorder="1" applyAlignment="1">
      <alignment horizontal="center" wrapText="1"/>
    </xf>
    <xf numFmtId="170" fontId="0" fillId="0" borderId="14" xfId="0" applyNumberFormat="1" applyFont="1" applyBorder="1" applyAlignment="1">
      <alignment horizontal="center" wrapText="1"/>
    </xf>
    <xf numFmtId="170" fontId="0" fillId="0" borderId="11" xfId="0" applyNumberFormat="1" applyFont="1" applyBorder="1" applyAlignment="1">
      <alignment horizontal="center"/>
    </xf>
    <xf numFmtId="170" fontId="0" fillId="0" borderId="17" xfId="0" applyNumberFormat="1" applyFont="1" applyBorder="1" applyAlignment="1">
      <alignment horizontal="center"/>
    </xf>
    <xf numFmtId="170" fontId="0" fillId="0" borderId="14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70" fontId="12" fillId="0" borderId="0" xfId="0" applyNumberFormat="1" applyFont="1" applyAlignment="1">
      <alignment horizontal="center" vertical="center" wrapText="1"/>
    </xf>
    <xf numFmtId="170" fontId="12" fillId="0" borderId="0" xfId="0" applyNumberFormat="1" applyFont="1" applyAlignment="1">
      <alignment horizont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71" xfId="0" applyFont="1" applyBorder="1" applyAlignment="1">
      <alignment horizontal="center" wrapText="1"/>
    </xf>
    <xf numFmtId="0" fontId="12" fillId="0" borderId="70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12" fillId="0" borderId="0" xfId="0" applyFont="1" applyAlignment="1">
      <alignment horizontal="center" wrapText="1"/>
    </xf>
    <xf numFmtId="170" fontId="35" fillId="0" borderId="72" xfId="0" applyNumberFormat="1" applyFont="1" applyBorder="1" applyAlignment="1">
      <alignment horizontal="center" vertical="center" wrapText="1"/>
    </xf>
    <xf numFmtId="170" fontId="35" fillId="0" borderId="34" xfId="0" applyNumberFormat="1" applyFont="1" applyBorder="1" applyAlignment="1">
      <alignment horizontal="center" vertical="center" wrapText="1"/>
    </xf>
    <xf numFmtId="170" fontId="12" fillId="0" borderId="58" xfId="0" applyNumberFormat="1" applyFont="1" applyBorder="1" applyAlignment="1">
      <alignment horizontal="left" vertical="center" wrapText="1"/>
    </xf>
    <xf numFmtId="170" fontId="12" fillId="0" borderId="54" xfId="0" applyNumberFormat="1" applyFont="1" applyBorder="1" applyAlignment="1">
      <alignment horizontal="left" vertical="center" wrapText="1"/>
    </xf>
    <xf numFmtId="0" fontId="30" fillId="0" borderId="20" xfId="0" applyFont="1" applyBorder="1" applyAlignment="1">
      <alignment horizontal="center" vertical="top"/>
    </xf>
    <xf numFmtId="0" fontId="30" fillId="0" borderId="51" xfId="0" applyFont="1" applyBorder="1" applyAlignment="1">
      <alignment horizontal="center" vertical="top"/>
    </xf>
    <xf numFmtId="0" fontId="30" fillId="0" borderId="18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top" wrapText="1"/>
    </xf>
    <xf numFmtId="170" fontId="35" fillId="0" borderId="27" xfId="0" applyNumberFormat="1" applyFont="1" applyBorder="1" applyAlignment="1">
      <alignment horizontal="center" vertical="center" wrapText="1"/>
    </xf>
    <xf numFmtId="170" fontId="35" fillId="0" borderId="73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top" wrapText="1"/>
    </xf>
    <xf numFmtId="0" fontId="12" fillId="0" borderId="24" xfId="0" applyFont="1" applyBorder="1" applyAlignment="1">
      <alignment vertical="top" wrapText="1"/>
    </xf>
    <xf numFmtId="0" fontId="2" fillId="0" borderId="71" xfId="0" applyFont="1" applyBorder="1" applyAlignment="1">
      <alignment horizontal="center" wrapText="1"/>
    </xf>
    <xf numFmtId="0" fontId="2" fillId="0" borderId="70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170" fontId="12" fillId="0" borderId="59" xfId="0" applyNumberFormat="1" applyFont="1" applyBorder="1" applyAlignment="1">
      <alignment horizontal="center" vertical="center" wrapText="1"/>
    </xf>
    <xf numFmtId="170" fontId="12" fillId="0" borderId="52" xfId="0" applyNumberFormat="1" applyFont="1" applyBorder="1" applyAlignment="1">
      <alignment horizontal="center" vertical="center" wrapText="1"/>
    </xf>
    <xf numFmtId="170" fontId="12" fillId="0" borderId="20" xfId="0" applyNumberFormat="1" applyFont="1" applyBorder="1" applyAlignment="1">
      <alignment horizontal="center" vertical="center" wrapText="1"/>
    </xf>
    <xf numFmtId="170" fontId="12" fillId="0" borderId="18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left" vertical="center" wrapText="1"/>
    </xf>
    <xf numFmtId="170" fontId="0" fillId="0" borderId="10" xfId="0" applyNumberFormat="1" applyFont="1" applyBorder="1" applyAlignment="1">
      <alignment horizontal="center"/>
    </xf>
    <xf numFmtId="0" fontId="22" fillId="0" borderId="42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170" fontId="0" fillId="0" borderId="11" xfId="0" applyNumberFormat="1" applyFont="1" applyBorder="1" applyAlignment="1">
      <alignment horizontal="center" vertical="justify"/>
    </xf>
    <xf numFmtId="170" fontId="0" fillId="0" borderId="14" xfId="0" applyNumberFormat="1" applyFont="1" applyBorder="1" applyAlignment="1">
      <alignment horizontal="center" vertical="justify"/>
    </xf>
    <xf numFmtId="0" fontId="5" fillId="0" borderId="20" xfId="0" applyFont="1" applyBorder="1" applyAlignment="1">
      <alignment horizontal="center" wrapText="1"/>
    </xf>
    <xf numFmtId="0" fontId="5" fillId="0" borderId="51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12" fillId="0" borderId="20" xfId="0" applyFont="1" applyBorder="1" applyAlignment="1">
      <alignment horizontal="left" wrapText="1"/>
    </xf>
    <xf numFmtId="0" fontId="12" fillId="0" borderId="51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24" xfId="0" applyFont="1" applyBorder="1" applyAlignment="1">
      <alignment horizontal="left" vertical="top" wrapText="1"/>
    </xf>
    <xf numFmtId="0" fontId="12" fillId="0" borderId="53" xfId="0" applyFont="1" applyBorder="1" applyAlignment="1">
      <alignment horizontal="left" vertical="top" wrapText="1"/>
    </xf>
    <xf numFmtId="170" fontId="0" fillId="0" borderId="17" xfId="0" applyNumberFormat="1" applyFont="1" applyFill="1" applyBorder="1" applyAlignment="1">
      <alignment horizontal="center" vertical="center"/>
    </xf>
    <xf numFmtId="170" fontId="0" fillId="0" borderId="14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170" fontId="1" fillId="0" borderId="74" xfId="0" applyNumberFormat="1" applyFont="1" applyBorder="1" applyAlignment="1">
      <alignment horizontal="center" vertical="center" wrapText="1"/>
    </xf>
    <xf numFmtId="170" fontId="1" fillId="0" borderId="75" xfId="0" applyNumberFormat="1" applyFont="1" applyBorder="1" applyAlignment="1">
      <alignment horizontal="center" vertical="center" wrapText="1"/>
    </xf>
    <xf numFmtId="170" fontId="0" fillId="0" borderId="22" xfId="0" applyNumberFormat="1" applyFont="1" applyBorder="1" applyAlignment="1">
      <alignment horizontal="center" vertical="center"/>
    </xf>
    <xf numFmtId="170" fontId="0" fillId="0" borderId="48" xfId="0" applyNumberFormat="1" applyFont="1" applyBorder="1" applyAlignment="1">
      <alignment horizontal="center" vertical="center"/>
    </xf>
    <xf numFmtId="170" fontId="0" fillId="0" borderId="11" xfId="0" applyNumberFormat="1" applyFont="1" applyFill="1" applyBorder="1" applyAlignment="1">
      <alignment horizontal="center" vertical="center"/>
    </xf>
    <xf numFmtId="170" fontId="0" fillId="0" borderId="17" xfId="0" applyNumberFormat="1" applyFont="1" applyBorder="1" applyAlignment="1">
      <alignment horizontal="center" vertical="center"/>
    </xf>
    <xf numFmtId="170" fontId="0" fillId="0" borderId="14" xfId="0" applyNumberFormat="1" applyFont="1" applyBorder="1" applyAlignment="1">
      <alignment horizontal="center" vertical="center"/>
    </xf>
    <xf numFmtId="170" fontId="0" fillId="0" borderId="15" xfId="0" applyNumberFormat="1" applyFont="1" applyBorder="1" applyAlignment="1">
      <alignment horizontal="center"/>
    </xf>
    <xf numFmtId="170" fontId="0" fillId="0" borderId="48" xfId="0" applyNumberFormat="1" applyFont="1" applyBorder="1" applyAlignment="1">
      <alignment horizontal="center"/>
    </xf>
    <xf numFmtId="170" fontId="0" fillId="0" borderId="10" xfId="0" applyNumberFormat="1" applyFont="1" applyFill="1" applyBorder="1" applyAlignment="1">
      <alignment horizontal="center"/>
    </xf>
    <xf numFmtId="170" fontId="0" fillId="0" borderId="24" xfId="0" applyNumberFormat="1" applyFont="1" applyFill="1" applyBorder="1" applyAlignment="1">
      <alignment horizontal="center"/>
    </xf>
    <xf numFmtId="170" fontId="0" fillId="0" borderId="40" xfId="0" applyNumberFormat="1" applyFont="1" applyBorder="1" applyAlignment="1">
      <alignment horizontal="center"/>
    </xf>
    <xf numFmtId="170" fontId="0" fillId="0" borderId="41" xfId="0" applyNumberFormat="1" applyFont="1" applyBorder="1" applyAlignment="1">
      <alignment horizontal="center"/>
    </xf>
    <xf numFmtId="170" fontId="0" fillId="0" borderId="11" xfId="0" applyNumberFormat="1" applyFont="1" applyBorder="1" applyAlignment="1">
      <alignment horizontal="center" vertical="center"/>
    </xf>
    <xf numFmtId="170" fontId="0" fillId="0" borderId="15" xfId="0" applyNumberFormat="1" applyFont="1" applyBorder="1" applyAlignment="1">
      <alignment horizontal="center" vertical="center"/>
    </xf>
    <xf numFmtId="170" fontId="0" fillId="0" borderId="0" xfId="0" applyNumberFormat="1" applyFont="1" applyBorder="1" applyAlignment="1">
      <alignment horizontal="center" vertical="center"/>
    </xf>
    <xf numFmtId="170" fontId="0" fillId="0" borderId="13" xfId="0" applyNumberFormat="1" applyFont="1" applyBorder="1" applyAlignment="1">
      <alignment horizontal="center" vertical="center"/>
    </xf>
    <xf numFmtId="170" fontId="0" fillId="0" borderId="42" xfId="0" applyNumberFormat="1" applyFont="1" applyBorder="1" applyAlignment="1">
      <alignment horizontal="center"/>
    </xf>
    <xf numFmtId="44" fontId="12" fillId="0" borderId="0" xfId="0" applyNumberFormat="1" applyFont="1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885825</xdr:colOff>
      <xdr:row>0</xdr:row>
      <xdr:rowOff>133350</xdr:rowOff>
    </xdr:from>
    <xdr:to>
      <xdr:col>9</xdr:col>
      <xdr:colOff>1095375</xdr:colOff>
      <xdr:row>0</xdr:row>
      <xdr:rowOff>800100</xdr:rowOff>
    </xdr:to>
    <xdr:pic>
      <xdr:nvPicPr>
        <xdr:cNvPr id="1" name="Immagine 1" descr="AUSL_4_TERA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133350"/>
          <a:ext cx="1409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32"/>
  <sheetViews>
    <sheetView view="pageBreakPreview" zoomScale="74" zoomScaleSheetLayoutView="74" workbookViewId="0" topLeftCell="A186">
      <selection activeCell="D7" sqref="D7"/>
    </sheetView>
  </sheetViews>
  <sheetFormatPr defaultColWidth="9.140625" defaultRowHeight="12.75"/>
  <cols>
    <col min="1" max="1" width="11.7109375" style="0" customWidth="1"/>
    <col min="5" max="5" width="14.28125" style="0" customWidth="1"/>
    <col min="6" max="6" width="12.00390625" style="22" customWidth="1"/>
    <col min="7" max="7" width="15.28125" style="0" customWidth="1"/>
    <col min="8" max="8" width="17.140625" style="25" customWidth="1"/>
    <col min="9" max="9" width="18.00390625" style="68" customWidth="1"/>
    <col min="10" max="10" width="27.00390625" style="16" bestFit="1" customWidth="1"/>
    <col min="11" max="11" width="21.8515625" style="0" bestFit="1" customWidth="1"/>
    <col min="12" max="12" width="20.140625" style="16" bestFit="1" customWidth="1"/>
    <col min="13" max="13" width="15.57421875" style="0" bestFit="1" customWidth="1"/>
    <col min="14" max="14" width="20.421875" style="0" bestFit="1" customWidth="1"/>
  </cols>
  <sheetData>
    <row r="1" spans="1:12" s="6" customFormat="1" ht="71.25" customHeight="1">
      <c r="A1" s="751" t="s">
        <v>546</v>
      </c>
      <c r="B1" s="751"/>
      <c r="C1" s="751"/>
      <c r="D1" s="751"/>
      <c r="E1" s="751"/>
      <c r="F1" s="751"/>
      <c r="G1" s="751"/>
      <c r="H1" s="751"/>
      <c r="I1" s="751"/>
      <c r="J1" s="751"/>
      <c r="L1" s="532"/>
    </row>
    <row r="2" spans="2:12" s="6" customFormat="1" ht="51" customHeight="1">
      <c r="B2" s="7"/>
      <c r="C2" s="7"/>
      <c r="D2" s="7"/>
      <c r="E2" s="7"/>
      <c r="F2" s="21"/>
      <c r="G2" s="7"/>
      <c r="H2" s="24"/>
      <c r="I2" s="67"/>
      <c r="J2" s="15"/>
      <c r="L2" s="532"/>
    </row>
    <row r="3" ht="33.75">
      <c r="J3" s="112" t="s">
        <v>196</v>
      </c>
    </row>
    <row r="7" ht="46.5" customHeight="1" thickBot="1"/>
    <row r="8" spans="1:10" ht="35.25" thickBot="1">
      <c r="A8" s="752" t="s">
        <v>331</v>
      </c>
      <c r="B8" s="753"/>
      <c r="C8" s="753"/>
      <c r="D8" s="753"/>
      <c r="E8" s="753"/>
      <c r="F8" s="753"/>
      <c r="G8" s="753"/>
      <c r="H8" s="753"/>
      <c r="I8" s="753"/>
      <c r="J8" s="754"/>
    </row>
    <row r="9" ht="37.5" customHeight="1"/>
    <row r="10" spans="1:10" ht="42" customHeight="1">
      <c r="A10" s="755" t="s">
        <v>573</v>
      </c>
      <c r="B10" s="755"/>
      <c r="C10" s="755"/>
      <c r="D10" s="755"/>
      <c r="E10" s="755"/>
      <c r="F10" s="755"/>
      <c r="G10" s="755"/>
      <c r="H10" s="755"/>
      <c r="I10" s="755"/>
      <c r="J10" s="755"/>
    </row>
    <row r="12" spans="1:12" s="40" customFormat="1" ht="28.5" customHeight="1" thickBot="1">
      <c r="A12" s="710" t="s">
        <v>263</v>
      </c>
      <c r="B12" s="710"/>
      <c r="C12" s="710"/>
      <c r="D12" s="710"/>
      <c r="E12" s="710"/>
      <c r="F12" s="710"/>
      <c r="G12" s="710"/>
      <c r="H12" s="710"/>
      <c r="I12" s="710"/>
      <c r="J12" s="710"/>
      <c r="L12" s="83"/>
    </row>
    <row r="13" spans="2:9" ht="19.5" customHeight="1" thickBot="1">
      <c r="B13" s="756" t="s">
        <v>178</v>
      </c>
      <c r="C13" s="757"/>
      <c r="D13" s="757"/>
      <c r="E13" s="757"/>
      <c r="F13" s="757"/>
      <c r="G13" s="757"/>
      <c r="H13" s="757"/>
      <c r="I13" s="156" t="s">
        <v>211</v>
      </c>
    </row>
    <row r="14" spans="2:9" ht="19.5" customHeight="1">
      <c r="B14" s="759" t="s">
        <v>179</v>
      </c>
      <c r="C14" s="759"/>
      <c r="D14" s="759"/>
      <c r="E14" s="759"/>
      <c r="F14" s="759"/>
      <c r="G14" s="105" t="s">
        <v>332</v>
      </c>
      <c r="H14" s="108"/>
      <c r="I14" s="159"/>
    </row>
    <row r="15" spans="2:9" ht="19.5" customHeight="1">
      <c r="B15" s="766" t="s">
        <v>197</v>
      </c>
      <c r="C15" s="766"/>
      <c r="D15" s="766"/>
      <c r="E15" s="766"/>
      <c r="F15" s="766"/>
      <c r="G15" s="102" t="s">
        <v>333</v>
      </c>
      <c r="H15" s="101"/>
      <c r="I15" s="160"/>
    </row>
    <row r="16" spans="2:9" ht="19.5" customHeight="1" thickBot="1">
      <c r="B16" s="765" t="s">
        <v>198</v>
      </c>
      <c r="C16" s="765"/>
      <c r="D16" s="765"/>
      <c r="E16" s="765"/>
      <c r="F16" s="765"/>
      <c r="G16" s="106" t="s">
        <v>334</v>
      </c>
      <c r="H16" s="107"/>
      <c r="I16" s="161"/>
    </row>
    <row r="17" spans="2:9" ht="19.5" customHeight="1" thickBot="1">
      <c r="B17" s="756" t="s">
        <v>199</v>
      </c>
      <c r="C17" s="757"/>
      <c r="D17" s="757"/>
      <c r="E17" s="757"/>
      <c r="F17" s="757"/>
      <c r="G17" s="757"/>
      <c r="H17" s="757"/>
      <c r="I17" s="156" t="s">
        <v>335</v>
      </c>
    </row>
    <row r="18" spans="2:12" s="2" customFormat="1" ht="19.5" customHeight="1">
      <c r="B18" s="759" t="s">
        <v>200</v>
      </c>
      <c r="C18" s="759"/>
      <c r="D18" s="759"/>
      <c r="E18" s="759"/>
      <c r="F18" s="759"/>
      <c r="G18" s="105" t="s">
        <v>336</v>
      </c>
      <c r="H18" s="108"/>
      <c r="I18" s="162"/>
      <c r="J18" s="19"/>
      <c r="L18" s="19"/>
    </row>
    <row r="19" spans="2:12" s="2" customFormat="1" ht="19.5" customHeight="1">
      <c r="B19" s="766" t="s">
        <v>201</v>
      </c>
      <c r="C19" s="766"/>
      <c r="D19" s="766"/>
      <c r="E19" s="766"/>
      <c r="F19" s="766"/>
      <c r="G19" s="102" t="s">
        <v>337</v>
      </c>
      <c r="H19" s="101"/>
      <c r="I19" s="163"/>
      <c r="J19" s="19"/>
      <c r="L19" s="19"/>
    </row>
    <row r="20" spans="2:12" s="2" customFormat="1" ht="19.5" customHeight="1">
      <c r="B20" s="103" t="s">
        <v>96</v>
      </c>
      <c r="C20" s="103"/>
      <c r="D20" s="103"/>
      <c r="E20" s="103"/>
      <c r="F20" s="104"/>
      <c r="G20" s="102" t="s">
        <v>338</v>
      </c>
      <c r="H20" s="101"/>
      <c r="I20" s="163"/>
      <c r="J20" s="19"/>
      <c r="L20" s="19"/>
    </row>
    <row r="21" spans="2:12" s="2" customFormat="1" ht="19.5" customHeight="1">
      <c r="B21" s="766" t="s">
        <v>202</v>
      </c>
      <c r="C21" s="766"/>
      <c r="D21" s="766"/>
      <c r="E21" s="766"/>
      <c r="F21" s="766"/>
      <c r="G21" s="102" t="s">
        <v>339</v>
      </c>
      <c r="H21" s="101"/>
      <c r="I21" s="163"/>
      <c r="J21" s="19"/>
      <c r="L21" s="19"/>
    </row>
    <row r="22" spans="2:12" s="2" customFormat="1" ht="19.5" customHeight="1">
      <c r="B22" s="766" t="s">
        <v>137</v>
      </c>
      <c r="C22" s="766"/>
      <c r="D22" s="766"/>
      <c r="E22" s="766"/>
      <c r="F22" s="766"/>
      <c r="G22" s="102" t="s">
        <v>340</v>
      </c>
      <c r="H22" s="101"/>
      <c r="I22" s="163"/>
      <c r="J22" s="19"/>
      <c r="L22" s="19"/>
    </row>
    <row r="23" spans="2:12" s="2" customFormat="1" ht="19.5" customHeight="1">
      <c r="B23" s="766" t="s">
        <v>203</v>
      </c>
      <c r="C23" s="766"/>
      <c r="D23" s="766"/>
      <c r="E23" s="766"/>
      <c r="F23" s="766"/>
      <c r="G23" s="102" t="s">
        <v>341</v>
      </c>
      <c r="H23" s="101"/>
      <c r="I23" s="163"/>
      <c r="J23" s="19"/>
      <c r="L23" s="19"/>
    </row>
    <row r="24" spans="2:12" s="2" customFormat="1" ht="19.5" customHeight="1">
      <c r="B24" s="766" t="s">
        <v>204</v>
      </c>
      <c r="C24" s="766"/>
      <c r="D24" s="766"/>
      <c r="E24" s="766"/>
      <c r="F24" s="766"/>
      <c r="G24" s="102" t="s">
        <v>342</v>
      </c>
      <c r="H24" s="101"/>
      <c r="I24" s="163"/>
      <c r="J24" s="19"/>
      <c r="L24" s="19"/>
    </row>
    <row r="25" spans="2:12" s="2" customFormat="1" ht="19.5" customHeight="1" thickBot="1">
      <c r="B25" s="765" t="s">
        <v>138</v>
      </c>
      <c r="C25" s="765"/>
      <c r="D25" s="765"/>
      <c r="E25" s="765"/>
      <c r="F25" s="765"/>
      <c r="G25" s="106" t="s">
        <v>343</v>
      </c>
      <c r="H25" s="107"/>
      <c r="I25" s="164"/>
      <c r="J25" s="19"/>
      <c r="L25" s="19"/>
    </row>
    <row r="26" spans="2:9" ht="19.5" customHeight="1" thickBot="1">
      <c r="B26" s="756" t="s">
        <v>180</v>
      </c>
      <c r="C26" s="757"/>
      <c r="D26" s="757"/>
      <c r="E26" s="757"/>
      <c r="F26" s="757"/>
      <c r="G26" s="757"/>
      <c r="H26" s="757"/>
      <c r="I26" s="156" t="s">
        <v>344</v>
      </c>
    </row>
    <row r="27" spans="2:9" ht="19.5" customHeight="1">
      <c r="B27" s="759" t="s">
        <v>205</v>
      </c>
      <c r="C27" s="759"/>
      <c r="D27" s="759"/>
      <c r="E27" s="759"/>
      <c r="F27" s="759"/>
      <c r="G27" s="105" t="s">
        <v>345</v>
      </c>
      <c r="H27" s="108"/>
      <c r="I27" s="159"/>
    </row>
    <row r="28" spans="2:9" ht="19.5" customHeight="1">
      <c r="B28" s="766" t="s">
        <v>140</v>
      </c>
      <c r="C28" s="766"/>
      <c r="D28" s="766"/>
      <c r="E28" s="766"/>
      <c r="F28" s="766"/>
      <c r="G28" s="102" t="s">
        <v>346</v>
      </c>
      <c r="H28" s="101"/>
      <c r="I28" s="160"/>
    </row>
    <row r="29" spans="2:9" ht="19.5" customHeight="1" thickBot="1">
      <c r="B29" s="765" t="s">
        <v>141</v>
      </c>
      <c r="C29" s="765"/>
      <c r="D29" s="765"/>
      <c r="E29" s="765"/>
      <c r="F29" s="765"/>
      <c r="G29" s="106" t="s">
        <v>347</v>
      </c>
      <c r="H29" s="107"/>
      <c r="I29" s="161"/>
    </row>
    <row r="30" spans="2:9" ht="19.5" customHeight="1" thickBot="1">
      <c r="B30" s="756" t="s">
        <v>181</v>
      </c>
      <c r="C30" s="757"/>
      <c r="D30" s="757"/>
      <c r="E30" s="757"/>
      <c r="F30" s="757"/>
      <c r="G30" s="757"/>
      <c r="H30" s="757"/>
      <c r="I30" s="156" t="s">
        <v>348</v>
      </c>
    </row>
    <row r="31" spans="2:9" ht="19.5" customHeight="1">
      <c r="B31" s="759" t="s">
        <v>182</v>
      </c>
      <c r="C31" s="759"/>
      <c r="D31" s="759"/>
      <c r="E31" s="759"/>
      <c r="F31" s="759"/>
      <c r="G31" s="105" t="s">
        <v>349</v>
      </c>
      <c r="H31" s="108"/>
      <c r="I31" s="159"/>
    </row>
    <row r="32" spans="2:9" ht="19.5" customHeight="1">
      <c r="B32" s="760" t="s">
        <v>14</v>
      </c>
      <c r="C32" s="761"/>
      <c r="D32" s="761"/>
      <c r="E32" s="761"/>
      <c r="F32" s="762"/>
      <c r="G32" s="105" t="s">
        <v>350</v>
      </c>
      <c r="H32" s="108"/>
      <c r="I32" s="160"/>
    </row>
    <row r="33" spans="2:9" ht="19.5" customHeight="1">
      <c r="B33" s="766" t="s">
        <v>210</v>
      </c>
      <c r="C33" s="766"/>
      <c r="D33" s="766"/>
      <c r="E33" s="766"/>
      <c r="F33" s="766"/>
      <c r="G33" s="102" t="s">
        <v>351</v>
      </c>
      <c r="H33" s="101"/>
      <c r="I33" s="160"/>
    </row>
    <row r="34" spans="2:9" ht="19.5" customHeight="1">
      <c r="B34" s="766" t="s">
        <v>209</v>
      </c>
      <c r="C34" s="766"/>
      <c r="D34" s="766"/>
      <c r="E34" s="766"/>
      <c r="F34" s="766"/>
      <c r="G34" s="102" t="s">
        <v>352</v>
      </c>
      <c r="H34" s="101"/>
      <c r="I34" s="160"/>
    </row>
    <row r="35" spans="2:12" s="2" customFormat="1" ht="19.5" customHeight="1">
      <c r="B35" s="766" t="s">
        <v>142</v>
      </c>
      <c r="C35" s="766"/>
      <c r="D35" s="766"/>
      <c r="E35" s="766"/>
      <c r="F35" s="766"/>
      <c r="G35" s="102" t="s">
        <v>353</v>
      </c>
      <c r="H35" s="101"/>
      <c r="I35" s="163"/>
      <c r="J35" s="19"/>
      <c r="L35" s="19"/>
    </row>
    <row r="36" spans="2:12" s="2" customFormat="1" ht="19.5" customHeight="1" thickBot="1">
      <c r="B36" s="765" t="s">
        <v>143</v>
      </c>
      <c r="C36" s="765"/>
      <c r="D36" s="765"/>
      <c r="E36" s="765"/>
      <c r="F36" s="765"/>
      <c r="G36" s="106" t="s">
        <v>354</v>
      </c>
      <c r="H36" s="107"/>
      <c r="I36" s="164"/>
      <c r="J36" s="19"/>
      <c r="L36" s="19"/>
    </row>
    <row r="37" spans="2:9" ht="19.5" customHeight="1" thickBot="1">
      <c r="B37" s="763" t="s">
        <v>144</v>
      </c>
      <c r="C37" s="764"/>
      <c r="D37" s="764"/>
      <c r="E37" s="764"/>
      <c r="F37" s="764"/>
      <c r="G37" s="764"/>
      <c r="H37" s="764"/>
      <c r="I37" s="156" t="s">
        <v>355</v>
      </c>
    </row>
    <row r="38" spans="7:8" ht="8.25" customHeight="1" thickBot="1">
      <c r="G38" s="2"/>
      <c r="H38" s="26"/>
    </row>
    <row r="39" spans="2:10" ht="19.5" customHeight="1" thickBot="1">
      <c r="B39" s="763" t="s">
        <v>145</v>
      </c>
      <c r="C39" s="764"/>
      <c r="D39" s="764"/>
      <c r="E39" s="764"/>
      <c r="F39" s="764"/>
      <c r="G39" s="764"/>
      <c r="H39" s="155"/>
      <c r="I39" s="157" t="s">
        <v>356</v>
      </c>
      <c r="J39" s="158"/>
    </row>
    <row r="40" spans="2:10" ht="19.5" customHeight="1" thickBot="1">
      <c r="B40" s="763" t="s">
        <v>505</v>
      </c>
      <c r="C40" s="764"/>
      <c r="D40" s="764"/>
      <c r="E40" s="764"/>
      <c r="F40" s="764"/>
      <c r="G40" s="764"/>
      <c r="H40" s="155"/>
      <c r="I40" s="157" t="s">
        <v>506</v>
      </c>
      <c r="J40" s="158"/>
    </row>
    <row r="41" spans="2:8" ht="12" customHeight="1" thickBot="1">
      <c r="B41" s="13"/>
      <c r="C41" s="13"/>
      <c r="D41" s="13"/>
      <c r="E41" s="13"/>
      <c r="G41" s="2"/>
      <c r="H41" s="26"/>
    </row>
    <row r="42" spans="1:10" ht="51.75" customHeight="1" thickBot="1">
      <c r="A42" s="767" t="s">
        <v>183</v>
      </c>
      <c r="B42" s="768"/>
      <c r="C42" s="768"/>
      <c r="D42" s="768"/>
      <c r="E42" s="768"/>
      <c r="F42" s="768"/>
      <c r="G42" s="768"/>
      <c r="H42" s="768"/>
      <c r="I42" s="768"/>
      <c r="J42" s="769"/>
    </row>
    <row r="43" spans="1:10" ht="48" customHeight="1" thickBot="1" thickTop="1">
      <c r="A43" s="655" t="s">
        <v>184</v>
      </c>
      <c r="B43" s="656"/>
      <c r="C43" s="656"/>
      <c r="D43" s="656"/>
      <c r="E43" s="656"/>
      <c r="F43" s="656"/>
      <c r="G43" s="656"/>
      <c r="H43" s="656"/>
      <c r="I43" s="656"/>
      <c r="J43" s="657"/>
    </row>
    <row r="44" spans="1:10" ht="21" customHeight="1" thickTop="1">
      <c r="A44" s="710" t="s">
        <v>212</v>
      </c>
      <c r="B44" s="710"/>
      <c r="C44" s="710"/>
      <c r="D44" s="710"/>
      <c r="E44" s="710"/>
      <c r="F44" s="710"/>
      <c r="G44" s="710"/>
      <c r="H44" s="710"/>
      <c r="I44" s="710"/>
      <c r="J44" s="710"/>
    </row>
    <row r="45" spans="1:10" ht="21" customHeight="1">
      <c r="A45" s="670" t="s">
        <v>221</v>
      </c>
      <c r="B45" s="670"/>
      <c r="C45" s="670"/>
      <c r="D45" s="670"/>
      <c r="E45" s="670"/>
      <c r="F45" s="671"/>
      <c r="G45" s="671"/>
      <c r="H45" s="671"/>
      <c r="I45" s="671"/>
      <c r="J45" s="671"/>
    </row>
    <row r="47" ht="18">
      <c r="A47" s="8" t="s">
        <v>186</v>
      </c>
    </row>
    <row r="49" spans="1:10" ht="18" customHeight="1">
      <c r="A49" s="672" t="s">
        <v>401</v>
      </c>
      <c r="B49" s="672"/>
      <c r="C49" s="672"/>
      <c r="D49" s="672"/>
      <c r="E49" s="672"/>
      <c r="F49" s="672"/>
      <c r="G49" s="672"/>
      <c r="H49" s="672"/>
      <c r="I49" s="672"/>
      <c r="J49" s="672"/>
    </row>
    <row r="50" spans="1:10" ht="20.25" customHeight="1">
      <c r="A50" s="672"/>
      <c r="B50" s="672"/>
      <c r="C50" s="672"/>
      <c r="D50" s="672"/>
      <c r="E50" s="672"/>
      <c r="F50" s="750"/>
      <c r="G50" s="750"/>
      <c r="H50" s="750"/>
      <c r="I50" s="750"/>
      <c r="J50" s="750"/>
    </row>
    <row r="51" spans="1:12" s="34" customFormat="1" ht="15.75">
      <c r="A51" s="94"/>
      <c r="B51" s="94"/>
      <c r="C51" s="94"/>
      <c r="D51" s="94"/>
      <c r="E51" s="94"/>
      <c r="F51" s="94"/>
      <c r="G51" s="94"/>
      <c r="H51" s="94"/>
      <c r="I51" s="94"/>
      <c r="J51" s="94"/>
      <c r="L51" s="402"/>
    </row>
    <row r="52" spans="1:12" s="95" customFormat="1" ht="15.75">
      <c r="A52" s="90"/>
      <c r="B52" s="90"/>
      <c r="C52" s="90"/>
      <c r="D52" s="90"/>
      <c r="E52" s="90"/>
      <c r="F52" s="90"/>
      <c r="G52" s="90"/>
      <c r="H52" s="90"/>
      <c r="I52" s="90"/>
      <c r="J52" s="90"/>
      <c r="L52" s="533"/>
    </row>
    <row r="53" spans="1:12" s="9" customFormat="1" ht="28.5" customHeight="1">
      <c r="A53" s="681" t="s">
        <v>97</v>
      </c>
      <c r="B53" s="681" t="s">
        <v>187</v>
      </c>
      <c r="C53" s="668" t="s">
        <v>188</v>
      </c>
      <c r="D53" s="669"/>
      <c r="E53" s="679" t="s">
        <v>216</v>
      </c>
      <c r="F53" s="681" t="s">
        <v>213</v>
      </c>
      <c r="G53" s="681" t="s">
        <v>170</v>
      </c>
      <c r="H53" s="715" t="s">
        <v>214</v>
      </c>
      <c r="I53" s="713" t="s">
        <v>215</v>
      </c>
      <c r="J53" s="658" t="s">
        <v>172</v>
      </c>
      <c r="L53" s="534"/>
    </row>
    <row r="54" spans="1:12" s="5" customFormat="1" ht="19.5" customHeight="1">
      <c r="A54" s="682"/>
      <c r="B54" s="682"/>
      <c r="C54" s="4" t="s">
        <v>191</v>
      </c>
      <c r="D54" s="4" t="s">
        <v>192</v>
      </c>
      <c r="E54" s="680"/>
      <c r="F54" s="682"/>
      <c r="G54" s="682"/>
      <c r="H54" s="716"/>
      <c r="I54" s="714"/>
      <c r="J54" s="659"/>
      <c r="L54" s="20"/>
    </row>
    <row r="55" spans="1:12" s="151" customFormat="1" ht="15" customHeight="1">
      <c r="A55" s="770" t="s">
        <v>278</v>
      </c>
      <c r="B55" s="143">
        <v>55</v>
      </c>
      <c r="C55" s="143">
        <v>734</v>
      </c>
      <c r="D55" s="143"/>
      <c r="E55" s="152">
        <v>1.35</v>
      </c>
      <c r="F55" s="153" t="s">
        <v>219</v>
      </c>
      <c r="G55" s="143">
        <v>3</v>
      </c>
      <c r="H55" s="145">
        <v>0.42</v>
      </c>
      <c r="I55" s="146">
        <v>0.45</v>
      </c>
      <c r="J55" s="145">
        <f>H55*75</f>
        <v>31.5</v>
      </c>
      <c r="L55" s="487"/>
    </row>
    <row r="56" spans="1:12" s="151" customFormat="1" ht="15" customHeight="1">
      <c r="A56" s="771"/>
      <c r="B56" s="143"/>
      <c r="C56" s="143">
        <v>735</v>
      </c>
      <c r="D56" s="143"/>
      <c r="E56" s="152">
        <v>1.95</v>
      </c>
      <c r="F56" s="153" t="s">
        <v>219</v>
      </c>
      <c r="G56" s="143">
        <v>3</v>
      </c>
      <c r="H56" s="145">
        <v>0.6</v>
      </c>
      <c r="I56" s="146">
        <v>0.65</v>
      </c>
      <c r="J56" s="145">
        <f>H56*75</f>
        <v>45</v>
      </c>
      <c r="L56" s="487"/>
    </row>
    <row r="57" spans="1:12" s="151" customFormat="1" ht="15" customHeight="1">
      <c r="A57" s="771"/>
      <c r="B57" s="143"/>
      <c r="C57" s="143">
        <v>123</v>
      </c>
      <c r="D57" s="142"/>
      <c r="E57" s="142">
        <v>10</v>
      </c>
      <c r="F57" s="143" t="s">
        <v>219</v>
      </c>
      <c r="G57" s="143">
        <v>3</v>
      </c>
      <c r="H57" s="145">
        <v>0.03098741394536919</v>
      </c>
      <c r="I57" s="146">
        <v>0.03356969844081662</v>
      </c>
      <c r="J57" s="145">
        <f>H57*75</f>
        <v>2.3240560459026893</v>
      </c>
      <c r="L57" s="487"/>
    </row>
    <row r="58" spans="1:12" s="151" customFormat="1" ht="15" customHeight="1">
      <c r="A58" s="771"/>
      <c r="B58" s="143">
        <v>56</v>
      </c>
      <c r="C58" s="143">
        <v>818</v>
      </c>
      <c r="D58" s="142"/>
      <c r="E58" s="144">
        <v>0.11</v>
      </c>
      <c r="F58" s="143" t="s">
        <v>219</v>
      </c>
      <c r="G58" s="143">
        <v>2</v>
      </c>
      <c r="H58" s="145">
        <v>0.05</v>
      </c>
      <c r="I58" s="146">
        <v>0.05</v>
      </c>
      <c r="J58" s="145">
        <f>H58*75</f>
        <v>3.75</v>
      </c>
      <c r="L58" s="487"/>
    </row>
    <row r="59" spans="1:12" s="151" customFormat="1" ht="15" customHeight="1">
      <c r="A59" s="772"/>
      <c r="B59" s="143"/>
      <c r="C59" s="143">
        <v>819</v>
      </c>
      <c r="D59" s="142"/>
      <c r="E59" s="144">
        <v>0.04</v>
      </c>
      <c r="F59" s="143" t="s">
        <v>219</v>
      </c>
      <c r="G59" s="143">
        <v>2</v>
      </c>
      <c r="H59" s="145">
        <v>0.02</v>
      </c>
      <c r="I59" s="146">
        <v>0.02</v>
      </c>
      <c r="J59" s="145">
        <f>H59*75</f>
        <v>1.5</v>
      </c>
      <c r="L59" s="487"/>
    </row>
    <row r="60" spans="1:12" s="5" customFormat="1" ht="15" customHeight="1">
      <c r="A60" s="679" t="s">
        <v>101</v>
      </c>
      <c r="B60" s="10">
        <v>63</v>
      </c>
      <c r="C60" s="10">
        <v>143</v>
      </c>
      <c r="D60" s="4"/>
      <c r="E60" s="11" t="s">
        <v>222</v>
      </c>
      <c r="F60" s="10" t="s">
        <v>223</v>
      </c>
      <c r="G60" s="10">
        <v>1</v>
      </c>
      <c r="H60" s="18">
        <v>2.670082168292645</v>
      </c>
      <c r="I60" s="77">
        <v>2.184612683148528</v>
      </c>
      <c r="J60" s="18">
        <v>0</v>
      </c>
      <c r="L60" s="20"/>
    </row>
    <row r="61" spans="1:12" s="5" customFormat="1" ht="15" customHeight="1">
      <c r="A61" s="758"/>
      <c r="B61" s="10"/>
      <c r="C61" s="10">
        <v>540</v>
      </c>
      <c r="D61" s="4"/>
      <c r="E61" s="11">
        <v>13.22</v>
      </c>
      <c r="F61" s="10" t="s">
        <v>224</v>
      </c>
      <c r="G61" s="10">
        <v>1</v>
      </c>
      <c r="H61" s="18">
        <v>10.241340308944517</v>
      </c>
      <c r="I61" s="77">
        <v>6.486182195664861</v>
      </c>
      <c r="J61" s="18">
        <v>0</v>
      </c>
      <c r="L61" s="20"/>
    </row>
    <row r="62" spans="1:12" s="5" customFormat="1" ht="15" customHeight="1">
      <c r="A62" s="758"/>
      <c r="B62" s="10"/>
      <c r="C62" s="10">
        <v>575</v>
      </c>
      <c r="D62" s="4"/>
      <c r="E62" s="11">
        <v>3.5</v>
      </c>
      <c r="F62" s="10" t="s">
        <v>219</v>
      </c>
      <c r="G62" s="10">
        <v>1</v>
      </c>
      <c r="H62" s="18">
        <v>1.8075991468132027</v>
      </c>
      <c r="I62" s="77">
        <v>1.5364592747912222</v>
      </c>
      <c r="J62" s="18">
        <v>0</v>
      </c>
      <c r="L62" s="20"/>
    </row>
    <row r="63" spans="1:12" s="5" customFormat="1" ht="15" customHeight="1">
      <c r="A63" s="758"/>
      <c r="B63" s="10"/>
      <c r="C63" s="10">
        <v>587</v>
      </c>
      <c r="D63" s="4"/>
      <c r="E63" s="11">
        <v>7.2</v>
      </c>
      <c r="F63" s="10" t="s">
        <v>224</v>
      </c>
      <c r="G63" s="10">
        <v>1</v>
      </c>
      <c r="H63" s="18">
        <v>5.577734510166454</v>
      </c>
      <c r="I63" s="77">
        <v>3.5325651897720878</v>
      </c>
      <c r="J63" s="18">
        <v>0</v>
      </c>
      <c r="L63" s="20"/>
    </row>
    <row r="64" spans="1:12" s="5" customFormat="1" ht="15" customHeight="1">
      <c r="A64" s="758"/>
      <c r="B64" s="10"/>
      <c r="C64" s="10">
        <v>1078</v>
      </c>
      <c r="D64" s="4"/>
      <c r="E64" s="369">
        <v>0.62</v>
      </c>
      <c r="F64" s="10" t="s">
        <v>224</v>
      </c>
      <c r="G64" s="10">
        <v>1</v>
      </c>
      <c r="H64" s="18">
        <v>0.48</v>
      </c>
      <c r="I64" s="77">
        <v>0.3</v>
      </c>
      <c r="J64" s="18">
        <v>0</v>
      </c>
      <c r="L64" s="20"/>
    </row>
    <row r="65" spans="1:12" s="5" customFormat="1" ht="15" customHeight="1">
      <c r="A65" s="758"/>
      <c r="B65" s="10"/>
      <c r="C65" s="10">
        <v>1080</v>
      </c>
      <c r="D65" s="4"/>
      <c r="E65" s="632" t="s">
        <v>577</v>
      </c>
      <c r="F65" s="10" t="s">
        <v>224</v>
      </c>
      <c r="G65" s="10">
        <v>1</v>
      </c>
      <c r="H65" s="18">
        <v>4.69</v>
      </c>
      <c r="I65" s="77">
        <v>2.97</v>
      </c>
      <c r="J65" s="18">
        <v>0</v>
      </c>
      <c r="L65" s="20"/>
    </row>
    <row r="66" spans="1:12" s="5" customFormat="1" ht="15" customHeight="1">
      <c r="A66" s="758"/>
      <c r="B66" s="10"/>
      <c r="C66" s="10">
        <v>1085</v>
      </c>
      <c r="D66" s="4"/>
      <c r="E66" s="169">
        <v>0.39</v>
      </c>
      <c r="F66" s="10" t="s">
        <v>403</v>
      </c>
      <c r="G66" s="10"/>
      <c r="H66" s="18"/>
      <c r="I66" s="77"/>
      <c r="J66" s="18"/>
      <c r="L66" s="20"/>
    </row>
    <row r="67" spans="1:12" s="5" customFormat="1" ht="15" customHeight="1">
      <c r="A67" s="758"/>
      <c r="B67" s="10"/>
      <c r="C67" s="10">
        <v>1091</v>
      </c>
      <c r="D67" s="4"/>
      <c r="E67" s="632" t="s">
        <v>578</v>
      </c>
      <c r="F67" s="10" t="s">
        <v>246</v>
      </c>
      <c r="G67" s="10">
        <v>1</v>
      </c>
      <c r="H67" s="18">
        <v>12.24</v>
      </c>
      <c r="I67" s="77">
        <v>10.01</v>
      </c>
      <c r="J67" s="18">
        <v>0</v>
      </c>
      <c r="L67" s="20"/>
    </row>
    <row r="68" spans="1:12" s="5" customFormat="1" ht="15" customHeight="1">
      <c r="A68" s="758"/>
      <c r="B68" s="10"/>
      <c r="C68" s="10">
        <v>1092</v>
      </c>
      <c r="D68" s="4"/>
      <c r="E68" s="632" t="s">
        <v>579</v>
      </c>
      <c r="F68" s="10" t="s">
        <v>402</v>
      </c>
      <c r="G68" s="10">
        <v>1</v>
      </c>
      <c r="H68" s="18">
        <v>7.43</v>
      </c>
      <c r="I68" s="77">
        <v>6.08</v>
      </c>
      <c r="J68" s="18">
        <v>0</v>
      </c>
      <c r="L68" s="20"/>
    </row>
    <row r="69" spans="1:12" s="5" customFormat="1" ht="15" customHeight="1">
      <c r="A69" s="758"/>
      <c r="B69" s="10"/>
      <c r="C69" s="368">
        <v>1093</v>
      </c>
      <c r="D69" s="4"/>
      <c r="E69" s="632" t="s">
        <v>580</v>
      </c>
      <c r="F69" s="10" t="s">
        <v>246</v>
      </c>
      <c r="G69" s="10">
        <v>1</v>
      </c>
      <c r="H69" s="18">
        <v>0.01</v>
      </c>
      <c r="I69" s="77">
        <v>0.01</v>
      </c>
      <c r="J69" s="18">
        <v>0</v>
      </c>
      <c r="L69" s="20"/>
    </row>
    <row r="70" spans="1:12" s="5" customFormat="1" ht="15" customHeight="1">
      <c r="A70" s="758"/>
      <c r="B70" s="10"/>
      <c r="C70" s="368">
        <v>1094</v>
      </c>
      <c r="D70" s="4"/>
      <c r="E70" s="633" t="s">
        <v>581</v>
      </c>
      <c r="F70" s="5" t="s">
        <v>246</v>
      </c>
      <c r="G70" s="10">
        <v>1</v>
      </c>
      <c r="H70" s="18">
        <v>9.44</v>
      </c>
      <c r="I70" s="77">
        <v>7.73</v>
      </c>
      <c r="J70" s="18">
        <v>0</v>
      </c>
      <c r="L70" s="20"/>
    </row>
    <row r="71" spans="1:12" s="5" customFormat="1" ht="15" customHeight="1">
      <c r="A71" s="758"/>
      <c r="B71" s="10"/>
      <c r="C71" s="368">
        <v>1095</v>
      </c>
      <c r="D71" s="4"/>
      <c r="E71" s="632" t="s">
        <v>582</v>
      </c>
      <c r="F71" s="10" t="s">
        <v>246</v>
      </c>
      <c r="G71" s="10">
        <v>1</v>
      </c>
      <c r="H71" s="18">
        <v>1.38</v>
      </c>
      <c r="I71" s="77">
        <v>1.13</v>
      </c>
      <c r="J71" s="18">
        <v>0</v>
      </c>
      <c r="L71" s="20"/>
    </row>
    <row r="72" spans="1:12" s="5" customFormat="1" ht="15" customHeight="1">
      <c r="A72" s="758"/>
      <c r="B72" s="10"/>
      <c r="C72" s="368">
        <v>1096</v>
      </c>
      <c r="D72" s="4"/>
      <c r="E72" s="633" t="s">
        <v>583</v>
      </c>
      <c r="F72" s="10" t="s">
        <v>246</v>
      </c>
      <c r="G72" s="10">
        <v>1</v>
      </c>
      <c r="H72" s="18">
        <v>2.68</v>
      </c>
      <c r="I72" s="77">
        <v>2.19</v>
      </c>
      <c r="J72" s="18"/>
      <c r="L72" s="20"/>
    </row>
    <row r="73" spans="1:12" s="5" customFormat="1" ht="15" customHeight="1">
      <c r="A73" s="758"/>
      <c r="B73" s="10"/>
      <c r="C73" s="368">
        <v>1102</v>
      </c>
      <c r="D73" s="4"/>
      <c r="E73" s="633" t="s">
        <v>584</v>
      </c>
      <c r="F73" s="10" t="s">
        <v>224</v>
      </c>
      <c r="G73" s="10">
        <v>1</v>
      </c>
      <c r="H73" s="18">
        <v>5.14</v>
      </c>
      <c r="I73" s="77">
        <v>3.26</v>
      </c>
      <c r="J73" s="18"/>
      <c r="L73" s="20"/>
    </row>
    <row r="74" spans="1:12" s="5" customFormat="1" ht="15" customHeight="1">
      <c r="A74" s="758"/>
      <c r="B74" s="10"/>
      <c r="C74" s="368">
        <v>1103</v>
      </c>
      <c r="D74" s="4"/>
      <c r="E74" s="634" t="s">
        <v>585</v>
      </c>
      <c r="F74" s="10" t="s">
        <v>224</v>
      </c>
      <c r="G74" s="10">
        <v>1</v>
      </c>
      <c r="H74" s="18">
        <v>4.51</v>
      </c>
      <c r="I74" s="77">
        <v>2.86</v>
      </c>
      <c r="J74" s="18"/>
      <c r="L74" s="20"/>
    </row>
    <row r="75" spans="1:12" s="5" customFormat="1" ht="15" customHeight="1">
      <c r="A75" s="758"/>
      <c r="B75" s="10"/>
      <c r="C75" s="368">
        <v>1104</v>
      </c>
      <c r="D75" s="4"/>
      <c r="E75" s="632" t="s">
        <v>586</v>
      </c>
      <c r="F75" s="10" t="s">
        <v>224</v>
      </c>
      <c r="G75" s="10">
        <v>1</v>
      </c>
      <c r="H75" s="18">
        <v>1.19</v>
      </c>
      <c r="I75" s="77">
        <v>0.76</v>
      </c>
      <c r="J75" s="18">
        <v>0</v>
      </c>
      <c r="L75" s="20"/>
    </row>
    <row r="76" spans="1:12" s="5" customFormat="1" ht="15" customHeight="1">
      <c r="A76" s="680"/>
      <c r="B76" s="10"/>
      <c r="C76" s="368">
        <v>1105</v>
      </c>
      <c r="D76" s="4"/>
      <c r="E76" s="633" t="s">
        <v>587</v>
      </c>
      <c r="F76" s="10" t="s">
        <v>224</v>
      </c>
      <c r="G76" s="10">
        <v>1</v>
      </c>
      <c r="H76" s="18">
        <v>4.35</v>
      </c>
      <c r="I76" s="77">
        <v>2.76</v>
      </c>
      <c r="J76" s="18">
        <v>0</v>
      </c>
      <c r="L76" s="20"/>
    </row>
    <row r="77" spans="1:12" s="5" customFormat="1" ht="15" customHeight="1">
      <c r="A77" s="725" t="s">
        <v>218</v>
      </c>
      <c r="B77" s="726"/>
      <c r="C77" s="726"/>
      <c r="D77" s="726"/>
      <c r="E77" s="727"/>
      <c r="F77" s="745"/>
      <c r="G77" s="745"/>
      <c r="H77" s="17">
        <f>SUM(H55:H76)</f>
        <v>74.95774354816218</v>
      </c>
      <c r="I77" s="86">
        <f>SUM(I55:I76)</f>
        <v>55.0033890418175</v>
      </c>
      <c r="J77" s="17"/>
      <c r="L77" s="20"/>
    </row>
    <row r="78" spans="1:12" s="46" customFormat="1" ht="15" customHeight="1">
      <c r="A78" s="717" t="s">
        <v>194</v>
      </c>
      <c r="B78" s="718"/>
      <c r="C78" s="718"/>
      <c r="D78" s="718"/>
      <c r="E78" s="718"/>
      <c r="F78" s="718"/>
      <c r="G78" s="718"/>
      <c r="H78" s="718"/>
      <c r="I78" s="719"/>
      <c r="J78" s="31">
        <f>SUM(J55:J77)</f>
        <v>84.0740560459027</v>
      </c>
      <c r="L78" s="401"/>
    </row>
    <row r="79" spans="1:10" ht="26.25">
      <c r="A79" s="705" t="s">
        <v>212</v>
      </c>
      <c r="B79" s="705"/>
      <c r="C79" s="705"/>
      <c r="D79" s="705"/>
      <c r="E79" s="705"/>
      <c r="F79" s="705"/>
      <c r="G79" s="705"/>
      <c r="H79" s="705"/>
      <c r="I79" s="705"/>
      <c r="J79" s="705"/>
    </row>
    <row r="80" spans="1:10" ht="24" customHeight="1">
      <c r="A80" s="748" t="s">
        <v>360</v>
      </c>
      <c r="B80" s="748"/>
      <c r="C80" s="748"/>
      <c r="D80" s="748"/>
      <c r="E80" s="748"/>
      <c r="F80" s="748"/>
      <c r="G80" s="748"/>
      <c r="H80" s="748"/>
      <c r="I80" s="748"/>
      <c r="J80" s="748"/>
    </row>
    <row r="82" ht="18">
      <c r="A82" s="8" t="s">
        <v>186</v>
      </c>
    </row>
    <row r="84" spans="1:7" ht="18">
      <c r="A84" s="367" t="s">
        <v>392</v>
      </c>
      <c r="B84" s="367"/>
      <c r="C84" s="367"/>
      <c r="D84" s="367"/>
      <c r="E84" s="367"/>
      <c r="F84" s="367"/>
      <c r="G84" s="367"/>
    </row>
    <row r="86" spans="1:12" s="9" customFormat="1" ht="28.5" customHeight="1">
      <c r="A86" s="681" t="s">
        <v>97</v>
      </c>
      <c r="B86" s="681" t="s">
        <v>187</v>
      </c>
      <c r="C86" s="668" t="s">
        <v>188</v>
      </c>
      <c r="D86" s="669"/>
      <c r="E86" s="679" t="s">
        <v>216</v>
      </c>
      <c r="F86" s="681" t="s">
        <v>213</v>
      </c>
      <c r="G86" s="681" t="s">
        <v>170</v>
      </c>
      <c r="H86" s="715" t="s">
        <v>214</v>
      </c>
      <c r="I86" s="713" t="s">
        <v>215</v>
      </c>
      <c r="J86" s="658" t="s">
        <v>172</v>
      </c>
      <c r="L86" s="534"/>
    </row>
    <row r="87" spans="1:12" s="5" customFormat="1" ht="19.5" customHeight="1">
      <c r="A87" s="682"/>
      <c r="B87" s="682"/>
      <c r="C87" s="4" t="s">
        <v>191</v>
      </c>
      <c r="D87" s="4" t="s">
        <v>192</v>
      </c>
      <c r="E87" s="680"/>
      <c r="F87" s="682"/>
      <c r="G87" s="682"/>
      <c r="H87" s="716"/>
      <c r="I87" s="714"/>
      <c r="J87" s="659"/>
      <c r="L87" s="20"/>
    </row>
    <row r="88" spans="1:12" s="5" customFormat="1" ht="19.5" customHeight="1">
      <c r="A88" s="679" t="s">
        <v>391</v>
      </c>
      <c r="B88" s="681">
        <v>62</v>
      </c>
      <c r="C88" s="4">
        <v>1366</v>
      </c>
      <c r="D88" s="4"/>
      <c r="E88" s="379" t="s">
        <v>404</v>
      </c>
      <c r="F88" s="165" t="s">
        <v>246</v>
      </c>
      <c r="G88" s="165">
        <v>2</v>
      </c>
      <c r="H88" s="621">
        <v>12.19</v>
      </c>
      <c r="I88" s="626">
        <v>11.51</v>
      </c>
      <c r="J88" s="373">
        <v>0</v>
      </c>
      <c r="L88" s="20"/>
    </row>
    <row r="89" spans="1:12" s="5" customFormat="1" ht="33.75" customHeight="1">
      <c r="A89" s="680"/>
      <c r="B89" s="682"/>
      <c r="C89" s="368">
        <v>1367</v>
      </c>
      <c r="D89" s="4"/>
      <c r="E89" s="11" t="s">
        <v>405</v>
      </c>
      <c r="F89" s="10" t="s">
        <v>246</v>
      </c>
      <c r="G89" s="10">
        <v>2</v>
      </c>
      <c r="H89" s="18">
        <v>0.97</v>
      </c>
      <c r="I89" s="77">
        <v>0.91</v>
      </c>
      <c r="J89" s="18">
        <v>0</v>
      </c>
      <c r="K89" s="5">
        <f>2622/280</f>
        <v>9.364285714285714</v>
      </c>
      <c r="L89" s="20"/>
    </row>
    <row r="90" spans="1:12" s="5" customFormat="1" ht="15" customHeight="1">
      <c r="A90" s="679" t="s">
        <v>361</v>
      </c>
      <c r="B90" s="10">
        <v>63</v>
      </c>
      <c r="C90" s="10">
        <v>80</v>
      </c>
      <c r="D90" s="4"/>
      <c r="E90" s="11" t="s">
        <v>362</v>
      </c>
      <c r="F90" s="10" t="s">
        <v>219</v>
      </c>
      <c r="G90" s="10">
        <v>2</v>
      </c>
      <c r="H90" s="18">
        <v>28.053938758540905</v>
      </c>
      <c r="I90" s="77">
        <v>28.053938758540905</v>
      </c>
      <c r="J90" s="18">
        <v>0</v>
      </c>
      <c r="K90" s="5">
        <f>K89*0.97</f>
        <v>9.083357142857142</v>
      </c>
      <c r="L90" s="20"/>
    </row>
    <row r="91" spans="1:12" s="5" customFormat="1" ht="15" customHeight="1">
      <c r="A91" s="758"/>
      <c r="B91" s="10"/>
      <c r="C91" s="10">
        <v>81</v>
      </c>
      <c r="D91" s="4"/>
      <c r="E91" s="11" t="s">
        <v>363</v>
      </c>
      <c r="F91" s="10" t="s">
        <v>219</v>
      </c>
      <c r="G91" s="10">
        <v>4</v>
      </c>
      <c r="H91" s="18">
        <v>4.4466939011604785</v>
      </c>
      <c r="I91" s="77">
        <v>7.411156501934131</v>
      </c>
      <c r="J91" s="18">
        <v>0</v>
      </c>
      <c r="L91" s="20"/>
    </row>
    <row r="92" spans="1:12" s="5" customFormat="1" ht="15" customHeight="1">
      <c r="A92" s="758"/>
      <c r="B92" s="10"/>
      <c r="C92" s="10">
        <v>985</v>
      </c>
      <c r="D92" s="4"/>
      <c r="E92" s="11" t="s">
        <v>364</v>
      </c>
      <c r="F92" s="10" t="s">
        <v>365</v>
      </c>
      <c r="G92" s="10">
        <v>2</v>
      </c>
      <c r="H92" s="18">
        <v>165.10094150092704</v>
      </c>
      <c r="I92" s="77">
        <v>103.1880884380794</v>
      </c>
      <c r="J92" s="18">
        <v>0</v>
      </c>
      <c r="L92" s="20"/>
    </row>
    <row r="93" spans="1:12" s="5" customFormat="1" ht="15" customHeight="1">
      <c r="A93" s="680"/>
      <c r="B93" s="10"/>
      <c r="C93" s="10">
        <v>986</v>
      </c>
      <c r="D93" s="4"/>
      <c r="E93" s="11" t="s">
        <v>366</v>
      </c>
      <c r="F93" s="10" t="s">
        <v>365</v>
      </c>
      <c r="G93" s="10">
        <v>2</v>
      </c>
      <c r="H93" s="18">
        <v>62.47062651386429</v>
      </c>
      <c r="I93" s="77">
        <v>39.04414157116518</v>
      </c>
      <c r="J93" s="18">
        <v>0</v>
      </c>
      <c r="L93" s="20"/>
    </row>
    <row r="94" spans="1:12" s="5" customFormat="1" ht="15" customHeight="1">
      <c r="A94" s="745" t="s">
        <v>218</v>
      </c>
      <c r="B94" s="745"/>
      <c r="C94" s="745"/>
      <c r="D94" s="745"/>
      <c r="E94" s="745"/>
      <c r="F94" s="745"/>
      <c r="G94" s="745"/>
      <c r="H94" s="17"/>
      <c r="I94" s="86"/>
      <c r="J94" s="17"/>
      <c r="L94" s="20"/>
    </row>
    <row r="95" spans="1:12" s="46" customFormat="1" ht="15" customHeight="1">
      <c r="A95" s="717" t="s">
        <v>194</v>
      </c>
      <c r="B95" s="718"/>
      <c r="C95" s="718"/>
      <c r="D95" s="718"/>
      <c r="E95" s="718"/>
      <c r="F95" s="718"/>
      <c r="G95" s="718"/>
      <c r="H95" s="718"/>
      <c r="I95" s="719"/>
      <c r="J95" s="31">
        <f>SUM(J89:J94)</f>
        <v>0</v>
      </c>
      <c r="L95" s="401"/>
    </row>
    <row r="96" spans="1:10" ht="45" customHeight="1">
      <c r="A96" s="710" t="s">
        <v>212</v>
      </c>
      <c r="B96" s="710"/>
      <c r="C96" s="710"/>
      <c r="D96" s="710"/>
      <c r="E96" s="710"/>
      <c r="F96" s="710"/>
      <c r="G96" s="710"/>
      <c r="H96" s="710"/>
      <c r="I96" s="710"/>
      <c r="J96" s="710"/>
    </row>
    <row r="97" spans="1:10" ht="21" customHeight="1">
      <c r="A97" s="670" t="s">
        <v>452</v>
      </c>
      <c r="B97" s="671"/>
      <c r="C97" s="671"/>
      <c r="D97" s="671"/>
      <c r="E97" s="671"/>
      <c r="F97" s="671"/>
      <c r="G97" s="671"/>
      <c r="H97" s="671"/>
      <c r="I97" s="671"/>
      <c r="J97" s="671"/>
    </row>
    <row r="99" ht="18">
      <c r="A99" s="8" t="s">
        <v>186</v>
      </c>
    </row>
    <row r="101" spans="1:10" ht="20.25" customHeight="1">
      <c r="A101" s="672" t="s">
        <v>367</v>
      </c>
      <c r="B101" s="672"/>
      <c r="C101" s="672"/>
      <c r="D101" s="672"/>
      <c r="E101" s="672"/>
      <c r="F101" s="672"/>
      <c r="G101" s="672"/>
      <c r="H101" s="672"/>
      <c r="I101" s="672"/>
      <c r="J101" s="672"/>
    </row>
    <row r="102" spans="1:10" ht="17.25" customHeight="1">
      <c r="A102" s="340"/>
      <c r="B102" s="340"/>
      <c r="C102" s="340"/>
      <c r="D102" s="340"/>
      <c r="E102" s="340"/>
      <c r="F102" s="340"/>
      <c r="G102" s="340"/>
      <c r="H102" s="340"/>
      <c r="I102" s="340"/>
      <c r="J102" s="340"/>
    </row>
    <row r="103" spans="1:12" s="9" customFormat="1" ht="28.5" customHeight="1">
      <c r="A103" s="681" t="s">
        <v>97</v>
      </c>
      <c r="B103" s="681" t="s">
        <v>187</v>
      </c>
      <c r="C103" s="668" t="s">
        <v>188</v>
      </c>
      <c r="D103" s="669"/>
      <c r="E103" s="679" t="s">
        <v>216</v>
      </c>
      <c r="F103" s="681" t="s">
        <v>213</v>
      </c>
      <c r="G103" s="681" t="s">
        <v>170</v>
      </c>
      <c r="H103" s="715" t="s">
        <v>214</v>
      </c>
      <c r="I103" s="713" t="s">
        <v>215</v>
      </c>
      <c r="J103" s="658" t="s">
        <v>172</v>
      </c>
      <c r="L103" s="534"/>
    </row>
    <row r="104" spans="1:12" s="5" customFormat="1" ht="19.5" customHeight="1">
      <c r="A104" s="682"/>
      <c r="B104" s="682"/>
      <c r="C104" s="4" t="s">
        <v>191</v>
      </c>
      <c r="D104" s="4" t="s">
        <v>192</v>
      </c>
      <c r="E104" s="680"/>
      <c r="F104" s="682"/>
      <c r="G104" s="682"/>
      <c r="H104" s="716"/>
      <c r="I104" s="714"/>
      <c r="J104" s="659"/>
      <c r="L104" s="20"/>
    </row>
    <row r="105" spans="1:12" s="5" customFormat="1" ht="15" customHeight="1">
      <c r="A105" s="679" t="s">
        <v>101</v>
      </c>
      <c r="B105" s="10">
        <v>62</v>
      </c>
      <c r="C105" s="11">
        <v>204</v>
      </c>
      <c r="D105" s="4"/>
      <c r="E105" s="11" t="s">
        <v>368</v>
      </c>
      <c r="F105" s="4" t="s">
        <v>219</v>
      </c>
      <c r="G105" s="10">
        <v>1</v>
      </c>
      <c r="H105" s="18">
        <v>3.2020327743548163</v>
      </c>
      <c r="I105" s="77">
        <v>2.721727858201594</v>
      </c>
      <c r="J105" s="18">
        <v>0</v>
      </c>
      <c r="L105" s="20"/>
    </row>
    <row r="106" spans="1:12" s="151" customFormat="1" ht="15" customHeight="1">
      <c r="A106" s="743"/>
      <c r="B106" s="143"/>
      <c r="C106" s="144">
        <v>716</v>
      </c>
      <c r="D106" s="142"/>
      <c r="E106" s="144" t="s">
        <v>369</v>
      </c>
      <c r="F106" s="143" t="s">
        <v>370</v>
      </c>
      <c r="G106" s="143"/>
      <c r="H106" s="145">
        <v>0</v>
      </c>
      <c r="I106" s="146">
        <v>0</v>
      </c>
      <c r="J106" s="145">
        <v>0</v>
      </c>
      <c r="L106" s="487"/>
    </row>
    <row r="107" spans="1:12" s="151" customFormat="1" ht="15">
      <c r="A107" s="743"/>
      <c r="B107" s="143"/>
      <c r="C107" s="144">
        <v>1270</v>
      </c>
      <c r="D107" s="142"/>
      <c r="E107" s="144" t="s">
        <v>371</v>
      </c>
      <c r="F107" s="143" t="s">
        <v>220</v>
      </c>
      <c r="G107" s="341">
        <v>2</v>
      </c>
      <c r="H107" s="145">
        <v>0.14</v>
      </c>
      <c r="I107" s="146">
        <v>0.13</v>
      </c>
      <c r="J107" s="145"/>
      <c r="L107" s="487"/>
    </row>
    <row r="108" spans="1:12" s="151" customFormat="1" ht="15">
      <c r="A108" s="744"/>
      <c r="B108" s="143"/>
      <c r="C108" s="144">
        <v>1272</v>
      </c>
      <c r="D108" s="142"/>
      <c r="E108" s="375" t="s">
        <v>588</v>
      </c>
      <c r="F108" s="143" t="s">
        <v>370</v>
      </c>
      <c r="G108" s="341"/>
      <c r="H108" s="145"/>
      <c r="I108" s="146"/>
      <c r="J108" s="145"/>
      <c r="L108" s="487"/>
    </row>
    <row r="109" spans="1:12" s="5" customFormat="1" ht="15" customHeight="1">
      <c r="A109" s="794" t="s">
        <v>194</v>
      </c>
      <c r="B109" s="795"/>
      <c r="C109" s="795"/>
      <c r="D109" s="795"/>
      <c r="E109" s="795"/>
      <c r="F109" s="795"/>
      <c r="G109" s="795"/>
      <c r="H109" s="795"/>
      <c r="I109" s="796"/>
      <c r="J109" s="18">
        <f>SUM(J101:J108)</f>
        <v>0</v>
      </c>
      <c r="L109" s="20"/>
    </row>
    <row r="110" spans="1:10" ht="26.25">
      <c r="A110" s="705" t="s">
        <v>185</v>
      </c>
      <c r="B110" s="705"/>
      <c r="C110" s="705"/>
      <c r="D110" s="705"/>
      <c r="E110" s="705"/>
      <c r="F110" s="705"/>
      <c r="G110" s="705"/>
      <c r="H110" s="705"/>
      <c r="I110" s="705"/>
      <c r="J110" s="705"/>
    </row>
    <row r="111" spans="1:10" ht="36" customHeight="1">
      <c r="A111" s="670" t="s">
        <v>447</v>
      </c>
      <c r="B111" s="670"/>
      <c r="C111" s="670"/>
      <c r="D111" s="670"/>
      <c r="E111" s="670"/>
      <c r="F111" s="671"/>
      <c r="G111" s="671"/>
      <c r="H111" s="671"/>
      <c r="I111" s="671"/>
      <c r="J111" s="671"/>
    </row>
    <row r="113" spans="1:8" ht="18">
      <c r="A113" s="671" t="s">
        <v>556</v>
      </c>
      <c r="B113" s="671"/>
      <c r="C113" s="671"/>
      <c r="D113" s="671"/>
      <c r="E113" s="671"/>
      <c r="F113" s="671"/>
      <c r="G113" s="671"/>
      <c r="H113" s="671"/>
    </row>
    <row r="115" spans="1:6" ht="18">
      <c r="A115" s="671" t="s">
        <v>372</v>
      </c>
      <c r="B115" s="671"/>
      <c r="C115" s="671"/>
      <c r="D115" s="671"/>
      <c r="E115" s="671"/>
      <c r="F115" s="13"/>
    </row>
    <row r="117" spans="1:12" s="9" customFormat="1" ht="43.5" customHeight="1">
      <c r="A117" s="681" t="s">
        <v>97</v>
      </c>
      <c r="B117" s="681" t="s">
        <v>187</v>
      </c>
      <c r="C117" s="668" t="s">
        <v>188</v>
      </c>
      <c r="D117" s="669"/>
      <c r="E117" s="679" t="s">
        <v>189</v>
      </c>
      <c r="F117" s="666" t="s">
        <v>169</v>
      </c>
      <c r="G117" s="681" t="s">
        <v>170</v>
      </c>
      <c r="H117" s="676" t="s">
        <v>171</v>
      </c>
      <c r="I117" s="72" t="s">
        <v>190</v>
      </c>
      <c r="J117" s="658" t="s">
        <v>172</v>
      </c>
      <c r="L117" s="534"/>
    </row>
    <row r="118" spans="1:12" s="5" customFormat="1" ht="24.75" customHeight="1">
      <c r="A118" s="682"/>
      <c r="B118" s="682"/>
      <c r="C118" s="4" t="s">
        <v>191</v>
      </c>
      <c r="D118" s="4" t="s">
        <v>192</v>
      </c>
      <c r="E118" s="680"/>
      <c r="F118" s="667"/>
      <c r="G118" s="682"/>
      <c r="H118" s="677"/>
      <c r="I118" s="70" t="s">
        <v>193</v>
      </c>
      <c r="J118" s="659"/>
      <c r="L118" s="20"/>
    </row>
    <row r="119" spans="1:12" s="5" customFormat="1" ht="43.5" customHeight="1">
      <c r="A119" s="48" t="s">
        <v>515</v>
      </c>
      <c r="B119" s="27">
        <v>67</v>
      </c>
      <c r="C119" s="27">
        <v>170</v>
      </c>
      <c r="D119" s="27"/>
      <c r="E119" s="27">
        <v>1</v>
      </c>
      <c r="F119" s="27" t="s">
        <v>232</v>
      </c>
      <c r="G119" s="27">
        <v>2</v>
      </c>
      <c r="H119" s="590" t="s">
        <v>373</v>
      </c>
      <c r="I119" s="490">
        <v>7114.72</v>
      </c>
      <c r="J119" s="591">
        <f>I119*100</f>
        <v>711472</v>
      </c>
      <c r="L119" s="20"/>
    </row>
    <row r="120" spans="1:12" s="5" customFormat="1" ht="23.25" customHeight="1">
      <c r="A120" s="692" t="s">
        <v>439</v>
      </c>
      <c r="B120" s="693"/>
      <c r="C120" s="693"/>
      <c r="D120" s="693"/>
      <c r="E120" s="693"/>
      <c r="F120" s="693"/>
      <c r="G120" s="693"/>
      <c r="H120" s="693"/>
      <c r="I120" s="694"/>
      <c r="J120" s="351">
        <v>10810.65</v>
      </c>
      <c r="L120" s="20"/>
    </row>
    <row r="121" spans="1:12" s="1" customFormat="1" ht="24.75" customHeight="1">
      <c r="A121" s="717" t="s">
        <v>194</v>
      </c>
      <c r="B121" s="718"/>
      <c r="C121" s="718"/>
      <c r="D121" s="718"/>
      <c r="E121" s="718"/>
      <c r="F121" s="718"/>
      <c r="G121" s="718"/>
      <c r="H121" s="719"/>
      <c r="I121" s="343"/>
      <c r="J121" s="31">
        <f>SUM(J119:J120)</f>
        <v>722282.65</v>
      </c>
      <c r="L121" s="85"/>
    </row>
    <row r="122" spans="1:10" ht="39.75" customHeight="1">
      <c r="A122" s="675" t="s">
        <v>440</v>
      </c>
      <c r="B122" s="675"/>
      <c r="C122" s="675"/>
      <c r="D122" s="675"/>
      <c r="E122" s="675"/>
      <c r="F122" s="675"/>
      <c r="G122" s="675"/>
      <c r="H122" s="675"/>
      <c r="I122" s="675"/>
      <c r="J122" s="675"/>
    </row>
    <row r="123" spans="1:10" ht="27" customHeight="1">
      <c r="A123" s="710" t="s">
        <v>212</v>
      </c>
      <c r="B123" s="710"/>
      <c r="C123" s="710"/>
      <c r="D123" s="710"/>
      <c r="E123" s="710"/>
      <c r="F123" s="710"/>
      <c r="G123" s="710"/>
      <c r="H123" s="710"/>
      <c r="I123" s="710"/>
      <c r="J123" s="710"/>
    </row>
    <row r="124" spans="1:10" ht="36" customHeight="1">
      <c r="A124" s="670" t="s">
        <v>447</v>
      </c>
      <c r="B124" s="670"/>
      <c r="C124" s="670"/>
      <c r="D124" s="670"/>
      <c r="E124" s="670"/>
      <c r="F124" s="671"/>
      <c r="G124" s="671"/>
      <c r="H124" s="671"/>
      <c r="I124" s="671"/>
      <c r="J124" s="671"/>
    </row>
    <row r="126" spans="1:8" ht="18">
      <c r="A126" s="671" t="s">
        <v>557</v>
      </c>
      <c r="B126" s="671"/>
      <c r="C126" s="671"/>
      <c r="D126" s="671"/>
      <c r="E126" s="671"/>
      <c r="F126" s="671"/>
      <c r="G126" s="671"/>
      <c r="H126" s="671"/>
    </row>
    <row r="128" spans="1:6" ht="18">
      <c r="A128" s="671" t="s">
        <v>374</v>
      </c>
      <c r="B128" s="671"/>
      <c r="C128" s="671"/>
      <c r="D128" s="671"/>
      <c r="E128" s="671"/>
      <c r="F128" s="13"/>
    </row>
    <row r="129" spans="1:12" s="9" customFormat="1" ht="28.5" customHeight="1">
      <c r="A129" s="681" t="s">
        <v>97</v>
      </c>
      <c r="B129" s="681" t="s">
        <v>187</v>
      </c>
      <c r="C129" s="668" t="s">
        <v>188</v>
      </c>
      <c r="D129" s="669"/>
      <c r="E129" s="679" t="s">
        <v>216</v>
      </c>
      <c r="F129" s="681" t="s">
        <v>213</v>
      </c>
      <c r="G129" s="681" t="s">
        <v>170</v>
      </c>
      <c r="H129" s="715" t="s">
        <v>214</v>
      </c>
      <c r="I129" s="713" t="s">
        <v>215</v>
      </c>
      <c r="J129" s="658" t="s">
        <v>172</v>
      </c>
      <c r="L129" s="534"/>
    </row>
    <row r="130" spans="1:12" s="5" customFormat="1" ht="19.5" customHeight="1">
      <c r="A130" s="682"/>
      <c r="B130" s="682"/>
      <c r="C130" s="4" t="s">
        <v>191</v>
      </c>
      <c r="D130" s="4" t="s">
        <v>192</v>
      </c>
      <c r="E130" s="680"/>
      <c r="F130" s="682"/>
      <c r="G130" s="682"/>
      <c r="H130" s="716"/>
      <c r="I130" s="714"/>
      <c r="J130" s="659"/>
      <c r="L130" s="20"/>
    </row>
    <row r="131" spans="1:12" s="151" customFormat="1" ht="35.25" customHeight="1">
      <c r="A131" s="344" t="s">
        <v>515</v>
      </c>
      <c r="B131" s="585">
        <v>67</v>
      </c>
      <c r="C131" s="584">
        <v>171</v>
      </c>
      <c r="D131" s="584"/>
      <c r="E131" s="592">
        <v>9.9</v>
      </c>
      <c r="F131" s="586" t="s">
        <v>375</v>
      </c>
      <c r="G131" s="585" t="s">
        <v>173</v>
      </c>
      <c r="H131" s="587">
        <v>0.1</v>
      </c>
      <c r="I131" s="593">
        <v>0.05</v>
      </c>
      <c r="J131" s="587">
        <f>H131*75</f>
        <v>7.5</v>
      </c>
      <c r="L131" s="487"/>
    </row>
    <row r="132" spans="1:12" s="1" customFormat="1" ht="24.75" customHeight="1">
      <c r="A132" s="691" t="s">
        <v>194</v>
      </c>
      <c r="B132" s="691"/>
      <c r="C132" s="691"/>
      <c r="D132" s="691"/>
      <c r="E132" s="691"/>
      <c r="F132" s="691"/>
      <c r="G132" s="691"/>
      <c r="H132" s="691"/>
      <c r="I132" s="343"/>
      <c r="J132" s="31">
        <f>SUM(J127:J131)</f>
        <v>7.5</v>
      </c>
      <c r="L132" s="85"/>
    </row>
    <row r="133" spans="1:12" s="5" customFormat="1" ht="24.75" customHeight="1">
      <c r="A133" s="12"/>
      <c r="B133" s="12"/>
      <c r="C133" s="12"/>
      <c r="D133" s="12"/>
      <c r="E133" s="12"/>
      <c r="F133" s="346"/>
      <c r="G133" s="12"/>
      <c r="H133" s="347"/>
      <c r="I133" s="348"/>
      <c r="J133" s="14"/>
      <c r="L133" s="20"/>
    </row>
    <row r="134" spans="1:10" ht="24.75" customHeight="1">
      <c r="A134" s="705" t="s">
        <v>185</v>
      </c>
      <c r="B134" s="705"/>
      <c r="C134" s="705"/>
      <c r="D134" s="705"/>
      <c r="E134" s="705"/>
      <c r="F134" s="705"/>
      <c r="G134" s="705"/>
      <c r="H134" s="705"/>
      <c r="I134" s="705"/>
      <c r="J134" s="705"/>
    </row>
    <row r="135" spans="1:10" ht="36" customHeight="1">
      <c r="A135" s="670" t="s">
        <v>451</v>
      </c>
      <c r="B135" s="670"/>
      <c r="C135" s="670"/>
      <c r="D135" s="670"/>
      <c r="E135" s="670"/>
      <c r="F135" s="671"/>
      <c r="G135" s="671"/>
      <c r="H135" s="671"/>
      <c r="I135" s="671"/>
      <c r="J135" s="671"/>
    </row>
    <row r="137" ht="18">
      <c r="A137" s="8" t="s">
        <v>376</v>
      </c>
    </row>
    <row r="139" spans="1:10" ht="18">
      <c r="A139" s="671" t="s">
        <v>377</v>
      </c>
      <c r="B139" s="671"/>
      <c r="C139" s="671"/>
      <c r="D139" s="671"/>
      <c r="E139" s="671"/>
      <c r="F139" s="671"/>
      <c r="G139" s="671"/>
      <c r="H139" s="671"/>
      <c r="I139" s="671"/>
      <c r="J139" s="671"/>
    </row>
    <row r="141" spans="1:12" s="9" customFormat="1" ht="24" customHeight="1">
      <c r="A141" s="681" t="s">
        <v>97</v>
      </c>
      <c r="B141" s="681" t="s">
        <v>187</v>
      </c>
      <c r="C141" s="668" t="s">
        <v>188</v>
      </c>
      <c r="D141" s="669"/>
      <c r="E141" s="679" t="s">
        <v>189</v>
      </c>
      <c r="F141" s="666" t="s">
        <v>169</v>
      </c>
      <c r="G141" s="681" t="s">
        <v>170</v>
      </c>
      <c r="H141" s="676" t="s">
        <v>171</v>
      </c>
      <c r="I141" s="72" t="s">
        <v>190</v>
      </c>
      <c r="J141" s="658" t="s">
        <v>172</v>
      </c>
      <c r="L141" s="534"/>
    </row>
    <row r="142" spans="1:12" s="5" customFormat="1" ht="18.75" customHeight="1">
      <c r="A142" s="682"/>
      <c r="B142" s="682"/>
      <c r="C142" s="4" t="s">
        <v>191</v>
      </c>
      <c r="D142" s="4" t="s">
        <v>192</v>
      </c>
      <c r="E142" s="680"/>
      <c r="F142" s="667"/>
      <c r="G142" s="682"/>
      <c r="H142" s="677"/>
      <c r="I142" s="70" t="s">
        <v>193</v>
      </c>
      <c r="J142" s="659"/>
      <c r="L142" s="20"/>
    </row>
    <row r="143" spans="1:12" s="5" customFormat="1" ht="81.75" customHeight="1">
      <c r="A143" s="349" t="s">
        <v>516</v>
      </c>
      <c r="B143" s="269">
        <v>62</v>
      </c>
      <c r="C143" s="27">
        <v>35</v>
      </c>
      <c r="D143" s="275"/>
      <c r="E143" s="27">
        <v>2</v>
      </c>
      <c r="F143" s="27" t="s">
        <v>378</v>
      </c>
      <c r="G143" s="27">
        <v>1</v>
      </c>
      <c r="H143" s="365" t="s">
        <v>411</v>
      </c>
      <c r="I143" s="583">
        <v>683.0142490458459</v>
      </c>
      <c r="J143" s="583">
        <f>I143*100</f>
        <v>68301.4249045846</v>
      </c>
      <c r="L143" s="20"/>
    </row>
    <row r="144" spans="1:12" s="5" customFormat="1" ht="66.75" customHeight="1">
      <c r="A144" s="679" t="s">
        <v>379</v>
      </c>
      <c r="B144" s="681">
        <v>62</v>
      </c>
      <c r="C144" s="681">
        <v>1408</v>
      </c>
      <c r="D144" s="275">
        <v>11</v>
      </c>
      <c r="E144" s="27">
        <v>2</v>
      </c>
      <c r="F144" s="27" t="s">
        <v>509</v>
      </c>
      <c r="G144" s="27" t="s">
        <v>173</v>
      </c>
      <c r="H144" s="365"/>
      <c r="I144" s="583">
        <v>0</v>
      </c>
      <c r="J144" s="583">
        <v>0</v>
      </c>
      <c r="L144" s="20"/>
    </row>
    <row r="145" spans="1:12" s="5" customFormat="1" ht="66.75" customHeight="1">
      <c r="A145" s="758"/>
      <c r="B145" s="749"/>
      <c r="C145" s="749"/>
      <c r="D145" s="275">
        <v>12</v>
      </c>
      <c r="E145" s="27">
        <v>2</v>
      </c>
      <c r="F145" s="27" t="s">
        <v>232</v>
      </c>
      <c r="G145" s="27" t="s">
        <v>173</v>
      </c>
      <c r="H145" s="365" t="s">
        <v>612</v>
      </c>
      <c r="I145" s="583">
        <v>6352.42</v>
      </c>
      <c r="J145" s="583">
        <f>I145*100</f>
        <v>635242</v>
      </c>
      <c r="L145" s="20"/>
    </row>
    <row r="146" spans="1:12" s="5" customFormat="1" ht="66.75" customHeight="1">
      <c r="A146" s="680"/>
      <c r="B146" s="682"/>
      <c r="C146" s="682"/>
      <c r="D146" s="275">
        <v>10</v>
      </c>
      <c r="E146" s="27">
        <v>2</v>
      </c>
      <c r="F146" s="27" t="s">
        <v>232</v>
      </c>
      <c r="G146" s="27" t="s">
        <v>173</v>
      </c>
      <c r="H146" s="365" t="s">
        <v>510</v>
      </c>
      <c r="I146" s="583">
        <v>5112.92</v>
      </c>
      <c r="J146" s="583">
        <f>I146*100</f>
        <v>511292</v>
      </c>
      <c r="L146" s="20"/>
    </row>
    <row r="147" spans="1:12" s="151" customFormat="1" ht="39.75" customHeight="1">
      <c r="A147" s="489" t="s">
        <v>286</v>
      </c>
      <c r="B147" s="165">
        <v>62</v>
      </c>
      <c r="C147" s="585">
        <v>1408</v>
      </c>
      <c r="D147" s="584">
        <v>7</v>
      </c>
      <c r="E147" s="584">
        <v>2</v>
      </c>
      <c r="F147" s="585" t="s">
        <v>139</v>
      </c>
      <c r="G147" s="585"/>
      <c r="H147" s="586"/>
      <c r="I147" s="587">
        <v>166</v>
      </c>
      <c r="J147" s="350" t="s">
        <v>380</v>
      </c>
      <c r="K147" s="487"/>
      <c r="L147" s="487"/>
    </row>
    <row r="148" spans="1:12" s="151" customFormat="1" ht="16.5" customHeight="1">
      <c r="A148" s="599"/>
      <c r="B148" s="600"/>
      <c r="C148" s="601"/>
      <c r="D148" s="602"/>
      <c r="E148" s="602"/>
      <c r="F148" s="601"/>
      <c r="G148" s="601"/>
      <c r="H148" s="603"/>
      <c r="I148" s="604"/>
      <c r="J148" s="350"/>
      <c r="K148" s="487"/>
      <c r="L148" s="487"/>
    </row>
    <row r="149" spans="1:12" s="151" customFormat="1" ht="23.25" customHeight="1">
      <c r="A149" s="599"/>
      <c r="B149" s="600"/>
      <c r="C149" s="601"/>
      <c r="D149" s="602"/>
      <c r="E149" s="602"/>
      <c r="F149" s="601"/>
      <c r="G149" s="601"/>
      <c r="H149" s="660" t="s">
        <v>551</v>
      </c>
      <c r="I149" s="661"/>
      <c r="J149" s="605">
        <v>6845500</v>
      </c>
      <c r="K149" s="487"/>
      <c r="L149" s="487"/>
    </row>
    <row r="150" spans="1:12" s="5" customFormat="1" ht="23.25" customHeight="1">
      <c r="A150" s="692" t="s">
        <v>495</v>
      </c>
      <c r="B150" s="693"/>
      <c r="C150" s="693"/>
      <c r="D150" s="693"/>
      <c r="E150" s="693"/>
      <c r="F150" s="693"/>
      <c r="G150" s="693"/>
      <c r="H150" s="693"/>
      <c r="I150" s="694"/>
      <c r="J150" s="351">
        <v>3438230.09</v>
      </c>
      <c r="K150" s="20">
        <f>J150-3371646.39</f>
        <v>66583.69999999972</v>
      </c>
      <c r="L150" s="20"/>
    </row>
    <row r="151" spans="1:12" s="1" customFormat="1" ht="24.75" customHeight="1">
      <c r="A151" s="692" t="s">
        <v>635</v>
      </c>
      <c r="B151" s="693"/>
      <c r="C151" s="693"/>
      <c r="D151" s="693"/>
      <c r="E151" s="693"/>
      <c r="F151" s="693"/>
      <c r="G151" s="693"/>
      <c r="H151" s="693"/>
      <c r="I151" s="694"/>
      <c r="J151" s="31">
        <f>J143+J149+J150</f>
        <v>10352031.514904585</v>
      </c>
      <c r="K151" s="20">
        <f>J151-10285447.81</f>
        <v>66583.70490458421</v>
      </c>
      <c r="L151" s="85"/>
    </row>
    <row r="152" spans="1:12" s="1" customFormat="1" ht="33" customHeight="1">
      <c r="A152" s="746" t="s">
        <v>589</v>
      </c>
      <c r="B152" s="747"/>
      <c r="C152" s="747"/>
      <c r="D152" s="747"/>
      <c r="E152" s="747"/>
      <c r="F152" s="747"/>
      <c r="G152" s="747"/>
      <c r="H152" s="747"/>
      <c r="I152" s="747"/>
      <c r="J152" s="747"/>
      <c r="K152" s="20"/>
      <c r="L152" s="85"/>
    </row>
    <row r="153" spans="1:10" ht="26.25">
      <c r="A153" s="705" t="s">
        <v>185</v>
      </c>
      <c r="B153" s="705"/>
      <c r="C153" s="705"/>
      <c r="D153" s="705"/>
      <c r="E153" s="705"/>
      <c r="F153" s="705"/>
      <c r="G153" s="705"/>
      <c r="H153" s="705"/>
      <c r="I153" s="705"/>
      <c r="J153" s="705"/>
    </row>
    <row r="155" spans="1:10" ht="36" customHeight="1">
      <c r="A155" s="670" t="s">
        <v>477</v>
      </c>
      <c r="B155" s="670"/>
      <c r="C155" s="670"/>
      <c r="D155" s="670"/>
      <c r="E155" s="670"/>
      <c r="F155" s="671"/>
      <c r="G155" s="671"/>
      <c r="H155" s="671"/>
      <c r="I155" s="671"/>
      <c r="J155" s="671"/>
    </row>
    <row r="157" ht="18">
      <c r="A157" s="8" t="s">
        <v>381</v>
      </c>
    </row>
    <row r="159" spans="1:10" ht="18">
      <c r="A159" s="671" t="s">
        <v>517</v>
      </c>
      <c r="B159" s="671"/>
      <c r="C159" s="671"/>
      <c r="D159" s="671"/>
      <c r="E159" s="671"/>
      <c r="F159" s="671"/>
      <c r="G159" s="671"/>
      <c r="H159" s="671"/>
      <c r="I159" s="671"/>
      <c r="J159" s="671"/>
    </row>
    <row r="161" spans="1:12" s="9" customFormat="1" ht="43.5" customHeight="1">
      <c r="A161" s="681" t="s">
        <v>97</v>
      </c>
      <c r="B161" s="681" t="s">
        <v>187</v>
      </c>
      <c r="C161" s="668" t="s">
        <v>188</v>
      </c>
      <c r="D161" s="669"/>
      <c r="E161" s="679" t="s">
        <v>189</v>
      </c>
      <c r="F161" s="666" t="s">
        <v>169</v>
      </c>
      <c r="G161" s="681" t="s">
        <v>170</v>
      </c>
      <c r="H161" s="676" t="s">
        <v>171</v>
      </c>
      <c r="I161" s="72" t="s">
        <v>190</v>
      </c>
      <c r="J161" s="658" t="s">
        <v>172</v>
      </c>
      <c r="L161" s="534"/>
    </row>
    <row r="162" spans="1:12" s="5" customFormat="1" ht="24.75" customHeight="1">
      <c r="A162" s="682"/>
      <c r="B162" s="682"/>
      <c r="C162" s="4" t="s">
        <v>191</v>
      </c>
      <c r="D162" s="4" t="s">
        <v>192</v>
      </c>
      <c r="E162" s="680"/>
      <c r="F162" s="667"/>
      <c r="G162" s="682"/>
      <c r="H162" s="677"/>
      <c r="I162" s="70" t="s">
        <v>193</v>
      </c>
      <c r="J162" s="659"/>
      <c r="L162" s="20"/>
    </row>
    <row r="163" spans="1:12" s="5" customFormat="1" ht="36.75" customHeight="1">
      <c r="A163" s="839" t="s">
        <v>382</v>
      </c>
      <c r="B163" s="10">
        <v>61</v>
      </c>
      <c r="C163" s="10">
        <v>144</v>
      </c>
      <c r="D163" s="4">
        <v>1</v>
      </c>
      <c r="E163" s="10">
        <v>1</v>
      </c>
      <c r="F163" s="10" t="s">
        <v>234</v>
      </c>
      <c r="G163" s="10">
        <v>3</v>
      </c>
      <c r="H163" s="11" t="s">
        <v>383</v>
      </c>
      <c r="I163" s="77">
        <v>37598.06</v>
      </c>
      <c r="J163" s="18">
        <f>I163*100</f>
        <v>3759806</v>
      </c>
      <c r="L163" s="20"/>
    </row>
    <row r="164" spans="1:12" s="5" customFormat="1" ht="56.25" customHeight="1">
      <c r="A164" s="840"/>
      <c r="B164" s="10"/>
      <c r="C164" s="10">
        <v>144</v>
      </c>
      <c r="D164" s="4">
        <v>2</v>
      </c>
      <c r="E164" s="10">
        <v>1</v>
      </c>
      <c r="F164" s="10" t="s">
        <v>384</v>
      </c>
      <c r="G164" s="10">
        <v>5</v>
      </c>
      <c r="H164" s="11" t="s">
        <v>385</v>
      </c>
      <c r="I164" s="77">
        <v>99.98605566372458</v>
      </c>
      <c r="J164" s="18">
        <f>I164*100</f>
        <v>9998.605566372458</v>
      </c>
      <c r="L164" s="20"/>
    </row>
    <row r="165" spans="1:12" s="5" customFormat="1" ht="30.75" customHeight="1">
      <c r="A165" s="652" t="s">
        <v>290</v>
      </c>
      <c r="B165" s="653"/>
      <c r="C165" s="653"/>
      <c r="D165" s="653"/>
      <c r="E165" s="653"/>
      <c r="F165" s="653"/>
      <c r="G165" s="653"/>
      <c r="H165" s="653"/>
      <c r="I165" s="654"/>
      <c r="J165" s="551">
        <f>SUM(J163:J164)</f>
        <v>3769804.6055663726</v>
      </c>
      <c r="L165" s="20"/>
    </row>
    <row r="166" spans="1:12" s="5" customFormat="1" ht="30.75" customHeight="1">
      <c r="A166" s="342"/>
      <c r="B166" s="12"/>
      <c r="C166" s="12"/>
      <c r="D166" s="3"/>
      <c r="E166" s="12"/>
      <c r="F166" s="12"/>
      <c r="G166" s="12"/>
      <c r="H166" s="53"/>
      <c r="I166" s="134"/>
      <c r="J166" s="14"/>
      <c r="L166" s="20"/>
    </row>
    <row r="167" spans="1:12" s="5" customFormat="1" ht="23.25" customHeight="1">
      <c r="A167" s="692" t="s">
        <v>441</v>
      </c>
      <c r="B167" s="693"/>
      <c r="C167" s="693"/>
      <c r="D167" s="693"/>
      <c r="E167" s="693"/>
      <c r="F167" s="693"/>
      <c r="G167" s="693"/>
      <c r="H167" s="693"/>
      <c r="I167" s="694"/>
      <c r="J167" s="120">
        <v>1614391.72</v>
      </c>
      <c r="K167" s="351"/>
      <c r="L167" s="20"/>
    </row>
    <row r="168" spans="1:12" s="1" customFormat="1" ht="24.75" customHeight="1">
      <c r="A168" s="717" t="s">
        <v>194</v>
      </c>
      <c r="B168" s="718"/>
      <c r="C168" s="718"/>
      <c r="D168" s="718"/>
      <c r="E168" s="718"/>
      <c r="F168" s="718"/>
      <c r="G168" s="718"/>
      <c r="H168" s="718"/>
      <c r="I168" s="719"/>
      <c r="J168" s="31">
        <f>J165+J167</f>
        <v>5384196.325566373</v>
      </c>
      <c r="K168" s="20">
        <f>J168-5129651.14</f>
        <v>254545.18556637317</v>
      </c>
      <c r="L168" s="85"/>
    </row>
    <row r="169" spans="1:11" ht="46.5" customHeight="1">
      <c r="A169" s="665" t="s">
        <v>590</v>
      </c>
      <c r="B169" s="665"/>
      <c r="C169" s="665"/>
      <c r="D169" s="665"/>
      <c r="E169" s="665"/>
      <c r="F169" s="665"/>
      <c r="G169" s="665"/>
      <c r="H169" s="665"/>
      <c r="I169" s="665"/>
      <c r="J169" s="665"/>
      <c r="K169" s="16"/>
    </row>
    <row r="170" spans="1:10" ht="26.25">
      <c r="A170" s="705" t="s">
        <v>185</v>
      </c>
      <c r="B170" s="705"/>
      <c r="C170" s="705"/>
      <c r="D170" s="705"/>
      <c r="E170" s="705"/>
      <c r="F170" s="705"/>
      <c r="G170" s="705"/>
      <c r="H170" s="705"/>
      <c r="I170" s="705"/>
      <c r="J170" s="705"/>
    </row>
    <row r="173" spans="6:12" s="352" customFormat="1" ht="12.75">
      <c r="F173" s="353"/>
      <c r="H173" s="354"/>
      <c r="I173" s="355"/>
      <c r="J173" s="356"/>
      <c r="L173" s="356"/>
    </row>
    <row r="174" spans="1:10" ht="36" customHeight="1">
      <c r="A174" s="697" t="s">
        <v>451</v>
      </c>
      <c r="B174" s="697"/>
      <c r="C174" s="697"/>
      <c r="D174" s="697"/>
      <c r="E174" s="697"/>
      <c r="F174" s="709"/>
      <c r="G174" s="709"/>
      <c r="H174" s="709"/>
      <c r="I174" s="709"/>
      <c r="J174" s="709"/>
    </row>
    <row r="175" spans="1:10" ht="15">
      <c r="A175" s="5"/>
      <c r="B175" s="5"/>
      <c r="C175" s="5"/>
      <c r="D175" s="5"/>
      <c r="E175" s="5"/>
      <c r="F175" s="5"/>
      <c r="G175" s="5"/>
      <c r="H175" s="52"/>
      <c r="I175" s="69"/>
      <c r="J175" s="20"/>
    </row>
    <row r="176" spans="1:10" ht="15.75">
      <c r="A176" s="46" t="s">
        <v>386</v>
      </c>
      <c r="B176" s="5"/>
      <c r="C176" s="5"/>
      <c r="D176" s="5"/>
      <c r="E176" s="5"/>
      <c r="F176" s="5"/>
      <c r="G176" s="5"/>
      <c r="H176" s="52"/>
      <c r="I176" s="69"/>
      <c r="J176" s="20"/>
    </row>
    <row r="177" spans="1:10" ht="15">
      <c r="A177" s="5"/>
      <c r="B177" s="5"/>
      <c r="C177" s="5"/>
      <c r="D177" s="5"/>
      <c r="E177" s="5"/>
      <c r="F177" s="5"/>
      <c r="G177" s="5"/>
      <c r="H177" s="52"/>
      <c r="I177" s="69"/>
      <c r="J177" s="20"/>
    </row>
    <row r="178" spans="1:10" ht="15.75">
      <c r="A178" s="709" t="s">
        <v>387</v>
      </c>
      <c r="B178" s="709"/>
      <c r="C178" s="709"/>
      <c r="D178" s="709"/>
      <c r="E178" s="709"/>
      <c r="F178" s="709"/>
      <c r="G178" s="709"/>
      <c r="H178" s="709"/>
      <c r="I178" s="709"/>
      <c r="J178" s="709"/>
    </row>
    <row r="179" spans="1:10" ht="15">
      <c r="A179" s="5"/>
      <c r="B179" s="5"/>
      <c r="C179" s="5"/>
      <c r="D179" s="5"/>
      <c r="E179" s="5"/>
      <c r="F179" s="5"/>
      <c r="G179" s="5"/>
      <c r="H179" s="52"/>
      <c r="I179" s="69"/>
      <c r="J179" s="20"/>
    </row>
    <row r="180" spans="1:12" s="9" customFormat="1" ht="43.5" customHeight="1">
      <c r="A180" s="681" t="s">
        <v>97</v>
      </c>
      <c r="B180" s="681" t="s">
        <v>187</v>
      </c>
      <c r="C180" s="668" t="s">
        <v>188</v>
      </c>
      <c r="D180" s="669"/>
      <c r="E180" s="679" t="s">
        <v>189</v>
      </c>
      <c r="F180" s="681" t="s">
        <v>169</v>
      </c>
      <c r="G180" s="681" t="s">
        <v>170</v>
      </c>
      <c r="H180" s="676" t="s">
        <v>171</v>
      </c>
      <c r="I180" s="72" t="s">
        <v>190</v>
      </c>
      <c r="J180" s="658" t="s">
        <v>172</v>
      </c>
      <c r="L180" s="534"/>
    </row>
    <row r="181" spans="1:12" s="5" customFormat="1" ht="24.75" customHeight="1">
      <c r="A181" s="682"/>
      <c r="B181" s="682"/>
      <c r="C181" s="4" t="s">
        <v>191</v>
      </c>
      <c r="D181" s="4" t="s">
        <v>192</v>
      </c>
      <c r="E181" s="680"/>
      <c r="F181" s="682"/>
      <c r="G181" s="682"/>
      <c r="H181" s="677"/>
      <c r="I181" s="70" t="s">
        <v>193</v>
      </c>
      <c r="J181" s="659"/>
      <c r="L181" s="20"/>
    </row>
    <row r="182" spans="1:12" s="5" customFormat="1" ht="54.75" customHeight="1">
      <c r="A182" s="679" t="s">
        <v>101</v>
      </c>
      <c r="B182" s="681">
        <v>62</v>
      </c>
      <c r="C182" s="681">
        <v>1408</v>
      </c>
      <c r="D182" s="27">
        <v>13</v>
      </c>
      <c r="E182" s="27">
        <v>2</v>
      </c>
      <c r="F182" s="27" t="s">
        <v>232</v>
      </c>
      <c r="G182" s="27" t="s">
        <v>173</v>
      </c>
      <c r="H182" s="27" t="s">
        <v>611</v>
      </c>
      <c r="I182" s="141">
        <v>195575.51</v>
      </c>
      <c r="J182" s="357">
        <f>I182*100</f>
        <v>19557551</v>
      </c>
      <c r="L182" s="20">
        <f>J182-19485032</f>
        <v>72519</v>
      </c>
    </row>
    <row r="183" spans="1:12" s="5" customFormat="1" ht="54.75" customHeight="1">
      <c r="A183" s="758"/>
      <c r="B183" s="749"/>
      <c r="C183" s="749"/>
      <c r="D183" s="27">
        <v>5</v>
      </c>
      <c r="E183" s="27">
        <v>2</v>
      </c>
      <c r="F183" s="27" t="s">
        <v>238</v>
      </c>
      <c r="G183" s="27">
        <v>5</v>
      </c>
      <c r="H183" s="27" t="s">
        <v>610</v>
      </c>
      <c r="I183" s="141">
        <v>5383.34</v>
      </c>
      <c r="J183" s="357">
        <f>I183*34</f>
        <v>183033.56</v>
      </c>
      <c r="L183" s="20"/>
    </row>
    <row r="184" spans="1:12" s="5" customFormat="1" ht="54.75" customHeight="1">
      <c r="A184" s="758"/>
      <c r="B184" s="682"/>
      <c r="C184" s="682"/>
      <c r="D184" s="27">
        <v>6</v>
      </c>
      <c r="E184" s="27">
        <v>2</v>
      </c>
      <c r="F184" s="27" t="s">
        <v>23</v>
      </c>
      <c r="G184" s="27">
        <v>2</v>
      </c>
      <c r="H184" s="27" t="s">
        <v>609</v>
      </c>
      <c r="I184" s="141">
        <v>2878.48</v>
      </c>
      <c r="J184" s="357">
        <f>I184*50</f>
        <v>143924</v>
      </c>
      <c r="L184" s="20"/>
    </row>
    <row r="185" spans="1:14" s="151" customFormat="1" ht="27" customHeight="1">
      <c r="A185" s="835" t="s">
        <v>290</v>
      </c>
      <c r="B185" s="836"/>
      <c r="C185" s="836"/>
      <c r="D185" s="836"/>
      <c r="E185" s="836"/>
      <c r="F185" s="836"/>
      <c r="G185" s="836"/>
      <c r="H185" s="836"/>
      <c r="I185" s="837"/>
      <c r="J185" s="552">
        <f>SUM(J182:J184)</f>
        <v>19884508.56</v>
      </c>
      <c r="L185" s="487">
        <f>J185+L186</f>
        <v>22457149.06</v>
      </c>
      <c r="N185" s="487">
        <f>22384630.06+L182-L186</f>
        <v>19884508.56</v>
      </c>
    </row>
    <row r="186" spans="1:14" s="151" customFormat="1" ht="31.5" customHeight="1">
      <c r="A186" s="358"/>
      <c r="B186" s="359"/>
      <c r="C186" s="360"/>
      <c r="D186" s="361"/>
      <c r="E186" s="360"/>
      <c r="F186" s="359"/>
      <c r="G186" s="362"/>
      <c r="H186" s="363"/>
      <c r="I186" s="364"/>
      <c r="J186" s="145"/>
      <c r="K186" s="487"/>
      <c r="L186" s="487">
        <f>2716564.5-J184</f>
        <v>2572640.5</v>
      </c>
      <c r="N186" s="487">
        <f>J188-L188+L186-L182</f>
        <v>42407390.260000005</v>
      </c>
    </row>
    <row r="187" spans="1:12" s="5" customFormat="1" ht="39.75" customHeight="1">
      <c r="A187" s="692" t="s">
        <v>388</v>
      </c>
      <c r="B187" s="693"/>
      <c r="C187" s="693"/>
      <c r="D187" s="693"/>
      <c r="E187" s="693"/>
      <c r="F187" s="693"/>
      <c r="G187" s="693"/>
      <c r="H187" s="693"/>
      <c r="I187" s="694"/>
      <c r="J187" s="351">
        <v>23022558.17</v>
      </c>
      <c r="K187" s="20"/>
      <c r="L187" s="20"/>
    </row>
    <row r="188" spans="1:12" s="1" customFormat="1" ht="24.75" customHeight="1">
      <c r="A188" s="717" t="s">
        <v>194</v>
      </c>
      <c r="B188" s="718"/>
      <c r="C188" s="718"/>
      <c r="D188" s="718"/>
      <c r="E188" s="718"/>
      <c r="F188" s="718"/>
      <c r="G188" s="718"/>
      <c r="H188" s="718"/>
      <c r="I188" s="719"/>
      <c r="J188" s="31">
        <f>J185+J187</f>
        <v>42907066.730000004</v>
      </c>
      <c r="K188" s="85">
        <f>J188-42407390.26</f>
        <v>499676.47000000626</v>
      </c>
      <c r="L188" s="85">
        <f>J187-20022760.2</f>
        <v>2999797.9700000025</v>
      </c>
    </row>
    <row r="189" spans="1:10" ht="15.75" customHeight="1">
      <c r="A189" s="12"/>
      <c r="B189" s="12"/>
      <c r="C189" s="12"/>
      <c r="D189" s="12"/>
      <c r="E189" s="12"/>
      <c r="F189" s="12"/>
      <c r="G189" s="12"/>
      <c r="H189" s="12"/>
      <c r="I189" s="73"/>
      <c r="J189" s="14"/>
    </row>
    <row r="190" spans="1:11" ht="54" customHeight="1">
      <c r="A190" s="675" t="s">
        <v>598</v>
      </c>
      <c r="B190" s="675"/>
      <c r="C190" s="675"/>
      <c r="D190" s="675"/>
      <c r="E190" s="675"/>
      <c r="F190" s="675"/>
      <c r="G190" s="675"/>
      <c r="H190" s="675"/>
      <c r="I190" s="675"/>
      <c r="J190" s="675"/>
      <c r="K190" s="16">
        <f>J188-L188</f>
        <v>39907268.760000005</v>
      </c>
    </row>
    <row r="191" spans="1:11" ht="26.25">
      <c r="A191" s="705" t="s">
        <v>185</v>
      </c>
      <c r="B191" s="705"/>
      <c r="C191" s="705"/>
      <c r="D191" s="705"/>
      <c r="E191" s="705"/>
      <c r="F191" s="705"/>
      <c r="G191" s="705"/>
      <c r="H191" s="705"/>
      <c r="I191" s="705"/>
      <c r="J191" s="705"/>
      <c r="K191" s="16">
        <f>K190+L186</f>
        <v>42479909.260000005</v>
      </c>
    </row>
    <row r="192" spans="1:10" ht="23.25" customHeight="1">
      <c r="A192" s="670" t="s">
        <v>451</v>
      </c>
      <c r="B192" s="670"/>
      <c r="C192" s="670"/>
      <c r="D192" s="670"/>
      <c r="E192" s="670"/>
      <c r="F192" s="671"/>
      <c r="G192" s="671"/>
      <c r="H192" s="671"/>
      <c r="I192" s="671"/>
      <c r="J192" s="671"/>
    </row>
    <row r="193" spans="1:6" ht="21" customHeight="1">
      <c r="A193" s="838" t="s">
        <v>386</v>
      </c>
      <c r="B193" s="838"/>
      <c r="C193" s="838"/>
      <c r="D193" s="838"/>
      <c r="E193" s="838"/>
      <c r="F193" s="838"/>
    </row>
    <row r="194" spans="1:10" ht="21" customHeight="1">
      <c r="A194" s="686" t="s">
        <v>389</v>
      </c>
      <c r="B194" s="686"/>
      <c r="C194" s="686"/>
      <c r="D194" s="686"/>
      <c r="E194" s="686"/>
      <c r="F194" s="686"/>
      <c r="G194" s="686"/>
      <c r="H194" s="686"/>
      <c r="I194" s="686"/>
      <c r="J194" s="686"/>
    </row>
    <row r="196" spans="1:12" s="9" customFormat="1" ht="21" customHeight="1">
      <c r="A196" s="681" t="s">
        <v>97</v>
      </c>
      <c r="B196" s="681" t="s">
        <v>187</v>
      </c>
      <c r="C196" s="668" t="s">
        <v>188</v>
      </c>
      <c r="D196" s="669"/>
      <c r="E196" s="679" t="s">
        <v>189</v>
      </c>
      <c r="F196" s="666" t="s">
        <v>169</v>
      </c>
      <c r="G196" s="681" t="s">
        <v>170</v>
      </c>
      <c r="H196" s="715" t="s">
        <v>390</v>
      </c>
      <c r="I196" s="72" t="s">
        <v>190</v>
      </c>
      <c r="J196" s="658" t="s">
        <v>172</v>
      </c>
      <c r="L196" s="534"/>
    </row>
    <row r="197" spans="1:12" s="5" customFormat="1" ht="16.5" customHeight="1">
      <c r="A197" s="682"/>
      <c r="B197" s="682"/>
      <c r="C197" s="4" t="s">
        <v>191</v>
      </c>
      <c r="D197" s="4" t="s">
        <v>192</v>
      </c>
      <c r="E197" s="680"/>
      <c r="F197" s="667"/>
      <c r="G197" s="682"/>
      <c r="H197" s="716"/>
      <c r="I197" s="70" t="s">
        <v>193</v>
      </c>
      <c r="J197" s="659"/>
      <c r="L197" s="20"/>
    </row>
    <row r="198" spans="1:12" s="5" customFormat="1" ht="30" customHeight="1">
      <c r="A198" s="32" t="s">
        <v>101</v>
      </c>
      <c r="B198" s="27">
        <v>62</v>
      </c>
      <c r="C198" s="32">
        <v>1408</v>
      </c>
      <c r="D198" s="275">
        <v>3</v>
      </c>
      <c r="E198" s="27">
        <v>2</v>
      </c>
      <c r="F198" s="27" t="s">
        <v>234</v>
      </c>
      <c r="G198" s="29"/>
      <c r="H198" s="365" t="s">
        <v>478</v>
      </c>
      <c r="I198" s="490">
        <v>87052.94</v>
      </c>
      <c r="J198" s="357">
        <f>I198*100</f>
        <v>8705294</v>
      </c>
      <c r="L198" s="20"/>
    </row>
    <row r="199" spans="1:12" s="5" customFormat="1" ht="27.75" customHeight="1">
      <c r="A199" s="692" t="s">
        <v>388</v>
      </c>
      <c r="B199" s="693"/>
      <c r="C199" s="693"/>
      <c r="D199" s="693"/>
      <c r="E199" s="693"/>
      <c r="F199" s="693"/>
      <c r="G199" s="693"/>
      <c r="H199" s="693"/>
      <c r="I199" s="694"/>
      <c r="J199" s="351">
        <v>1493664.71</v>
      </c>
      <c r="K199" s="20">
        <f>J199+14929.72</f>
        <v>1508594.43</v>
      </c>
      <c r="L199" s="20"/>
    </row>
    <row r="200" spans="1:12" s="1" customFormat="1" ht="24.75" customHeight="1">
      <c r="A200" s="691" t="s">
        <v>194</v>
      </c>
      <c r="B200" s="691"/>
      <c r="C200" s="691"/>
      <c r="D200" s="691"/>
      <c r="E200" s="691"/>
      <c r="F200" s="691"/>
      <c r="G200" s="691"/>
      <c r="H200" s="691"/>
      <c r="I200" s="343"/>
      <c r="J200" s="351">
        <f>SUM(J198:J199)</f>
        <v>10198958.71</v>
      </c>
      <c r="K200" s="85">
        <f>J200-9845635.99</f>
        <v>353322.72000000067</v>
      </c>
      <c r="L200" s="85"/>
    </row>
    <row r="201" spans="1:10" ht="11.25" customHeight="1">
      <c r="A201" s="12"/>
      <c r="B201" s="12"/>
      <c r="C201" s="12"/>
      <c r="D201" s="12"/>
      <c r="E201" s="12"/>
      <c r="F201" s="12"/>
      <c r="G201" s="12"/>
      <c r="H201" s="12"/>
      <c r="I201" s="73"/>
      <c r="J201" s="366"/>
    </row>
    <row r="202" spans="1:10" ht="81" customHeight="1">
      <c r="A202" s="847" t="s">
        <v>642</v>
      </c>
      <c r="B202" s="847"/>
      <c r="C202" s="847"/>
      <c r="D202" s="847"/>
      <c r="E202" s="847"/>
      <c r="F202" s="847"/>
      <c r="G202" s="847"/>
      <c r="H202" s="847"/>
      <c r="I202" s="847"/>
      <c r="J202" s="847"/>
    </row>
    <row r="203" spans="1:10" ht="36" customHeight="1">
      <c r="A203" s="670"/>
      <c r="B203" s="670"/>
      <c r="C203" s="670"/>
      <c r="D203" s="670"/>
      <c r="E203" s="670"/>
      <c r="F203" s="671"/>
      <c r="G203" s="671"/>
      <c r="H203" s="671"/>
      <c r="I203" s="671"/>
      <c r="J203" s="671"/>
    </row>
    <row r="204" spans="1:10" ht="31.5" customHeight="1">
      <c r="A204" s="705" t="s">
        <v>185</v>
      </c>
      <c r="B204" s="705"/>
      <c r="C204" s="705"/>
      <c r="D204" s="705"/>
      <c r="E204" s="705"/>
      <c r="F204" s="705"/>
      <c r="G204" s="705"/>
      <c r="H204" s="705"/>
      <c r="I204" s="705"/>
      <c r="J204" s="705"/>
    </row>
    <row r="205" spans="1:10" ht="17.25" customHeight="1">
      <c r="A205" s="670" t="s">
        <v>239</v>
      </c>
      <c r="B205" s="670"/>
      <c r="C205" s="670"/>
      <c r="D205" s="670"/>
      <c r="E205" s="670"/>
      <c r="F205" s="671"/>
      <c r="G205" s="671"/>
      <c r="H205" s="671"/>
      <c r="I205" s="671"/>
      <c r="J205" s="671"/>
    </row>
    <row r="206" spans="1:8" ht="18">
      <c r="A206" s="8" t="s">
        <v>231</v>
      </c>
      <c r="H206" s="96"/>
    </row>
    <row r="207" spans="1:12" s="9" customFormat="1" ht="21.75" customHeight="1">
      <c r="A207" s="681" t="s">
        <v>97</v>
      </c>
      <c r="B207" s="681" t="s">
        <v>187</v>
      </c>
      <c r="C207" s="668" t="s">
        <v>188</v>
      </c>
      <c r="D207" s="669"/>
      <c r="E207" s="679" t="s">
        <v>189</v>
      </c>
      <c r="F207" s="666" t="s">
        <v>169</v>
      </c>
      <c r="G207" s="681" t="s">
        <v>170</v>
      </c>
      <c r="H207" s="676" t="s">
        <v>171</v>
      </c>
      <c r="I207" s="72" t="s">
        <v>190</v>
      </c>
      <c r="J207" s="658" t="s">
        <v>172</v>
      </c>
      <c r="L207" s="534"/>
    </row>
    <row r="208" spans="1:12" s="5" customFormat="1" ht="13.5" customHeight="1">
      <c r="A208" s="682"/>
      <c r="B208" s="682"/>
      <c r="C208" s="4" t="s">
        <v>191</v>
      </c>
      <c r="D208" s="4" t="s">
        <v>192</v>
      </c>
      <c r="E208" s="680"/>
      <c r="F208" s="667"/>
      <c r="G208" s="682"/>
      <c r="H208" s="677"/>
      <c r="I208" s="70" t="s">
        <v>193</v>
      </c>
      <c r="J208" s="659"/>
      <c r="L208" s="20"/>
    </row>
    <row r="209" spans="1:12" s="5" customFormat="1" ht="18" customHeight="1">
      <c r="A209" s="842" t="s">
        <v>52</v>
      </c>
      <c r="B209" s="10">
        <v>63</v>
      </c>
      <c r="C209" s="10">
        <v>78</v>
      </c>
      <c r="D209" s="4"/>
      <c r="E209" s="10">
        <v>1</v>
      </c>
      <c r="F209" s="10" t="s">
        <v>236</v>
      </c>
      <c r="G209" s="10">
        <v>1</v>
      </c>
      <c r="H209" s="11" t="s">
        <v>237</v>
      </c>
      <c r="I209" s="77">
        <v>1924.3184060074266</v>
      </c>
      <c r="J209" s="18">
        <f>I209*100</f>
        <v>192431.84060074267</v>
      </c>
      <c r="L209" s="20"/>
    </row>
    <row r="210" spans="1:12" s="5" customFormat="1" ht="19.5" customHeight="1">
      <c r="A210" s="843"/>
      <c r="B210" s="10"/>
      <c r="C210" s="10">
        <v>79</v>
      </c>
      <c r="D210" s="4"/>
      <c r="E210" s="10">
        <v>1</v>
      </c>
      <c r="F210" s="10" t="s">
        <v>233</v>
      </c>
      <c r="G210" s="10">
        <v>4</v>
      </c>
      <c r="H210" s="11" t="s">
        <v>19</v>
      </c>
      <c r="I210" s="77">
        <v>113.88</v>
      </c>
      <c r="J210" s="18">
        <f>I210*100</f>
        <v>11388</v>
      </c>
      <c r="L210" s="20"/>
    </row>
    <row r="211" spans="1:10" ht="22.5" customHeight="1">
      <c r="A211" s="841" t="s">
        <v>290</v>
      </c>
      <c r="B211" s="841"/>
      <c r="C211" s="841"/>
      <c r="D211" s="841"/>
      <c r="E211" s="841"/>
      <c r="F211" s="841"/>
      <c r="G211" s="841"/>
      <c r="H211" s="841"/>
      <c r="I211" s="841"/>
      <c r="J211" s="31">
        <f>SUM(J209:J210)</f>
        <v>203819.84060074267</v>
      </c>
    </row>
    <row r="212" spans="1:12" s="1" customFormat="1" ht="24.75" customHeight="1">
      <c r="A212" s="844" t="s">
        <v>156</v>
      </c>
      <c r="B212" s="845"/>
      <c r="C212" s="845"/>
      <c r="D212" s="845"/>
      <c r="E212" s="845"/>
      <c r="F212" s="845"/>
      <c r="G212" s="845"/>
      <c r="H212" s="845"/>
      <c r="I212" s="846"/>
      <c r="J212" s="31">
        <v>463420.19</v>
      </c>
      <c r="L212" s="85"/>
    </row>
    <row r="213" spans="1:11" ht="24.75" customHeight="1">
      <c r="A213" s="691" t="s">
        <v>194</v>
      </c>
      <c r="B213" s="691"/>
      <c r="C213" s="691"/>
      <c r="D213" s="691"/>
      <c r="E213" s="691"/>
      <c r="F213" s="691"/>
      <c r="G213" s="691"/>
      <c r="H213" s="691"/>
      <c r="I213" s="691"/>
      <c r="J213" s="31">
        <f>SUM(J211:J212)</f>
        <v>667240.0306007427</v>
      </c>
      <c r="K213" s="16">
        <f>J213-660601.15</f>
        <v>6638.8806007426465</v>
      </c>
    </row>
    <row r="214" spans="1:10" ht="36.75" customHeight="1">
      <c r="A214" s="735" t="s">
        <v>565</v>
      </c>
      <c r="B214" s="848"/>
      <c r="C214" s="848"/>
      <c r="D214" s="848"/>
      <c r="E214" s="848"/>
      <c r="F214" s="848"/>
      <c r="G214" s="848"/>
      <c r="H214" s="848"/>
      <c r="I214" s="848"/>
      <c r="J214" s="848"/>
    </row>
    <row r="215" spans="1:10" ht="26.25">
      <c r="A215" s="705" t="s">
        <v>185</v>
      </c>
      <c r="B215" s="705"/>
      <c r="C215" s="705"/>
      <c r="D215" s="705"/>
      <c r="E215" s="705"/>
      <c r="F215" s="705"/>
      <c r="G215" s="705"/>
      <c r="H215" s="705"/>
      <c r="I215" s="705"/>
      <c r="J215" s="705"/>
    </row>
    <row r="216" spans="1:10" ht="9.75" customHeight="1">
      <c r="A216" s="12"/>
      <c r="B216" s="12"/>
      <c r="C216" s="12"/>
      <c r="D216" s="12"/>
      <c r="E216" s="12"/>
      <c r="F216" s="12"/>
      <c r="G216" s="12"/>
      <c r="H216" s="12"/>
      <c r="I216" s="73"/>
      <c r="J216" s="129"/>
    </row>
    <row r="217" spans="1:10" ht="48" customHeight="1">
      <c r="A217" s="699" t="s">
        <v>492</v>
      </c>
      <c r="B217" s="699"/>
      <c r="C217" s="699"/>
      <c r="D217" s="699"/>
      <c r="E217" s="699"/>
      <c r="F217" s="699"/>
      <c r="G217" s="699"/>
      <c r="H217" s="699"/>
      <c r="I217" s="699"/>
      <c r="J217" s="699"/>
    </row>
    <row r="218" spans="1:10" ht="9.75" customHeight="1">
      <c r="A218" s="130"/>
      <c r="B218" s="130"/>
      <c r="C218" s="130"/>
      <c r="D218" s="130"/>
      <c r="E218" s="130"/>
      <c r="F218" s="130"/>
      <c r="G218" s="130"/>
      <c r="H218" s="130"/>
      <c r="I218" s="130"/>
      <c r="J218" s="130"/>
    </row>
    <row r="219" ht="18">
      <c r="A219" s="8" t="s">
        <v>240</v>
      </c>
    </row>
    <row r="220" spans="1:10" ht="9.75" customHeight="1">
      <c r="A220" s="12"/>
      <c r="B220" s="12"/>
      <c r="C220" s="12"/>
      <c r="D220" s="12"/>
      <c r="E220" s="12"/>
      <c r="F220" s="12"/>
      <c r="G220" s="12"/>
      <c r="H220" s="12"/>
      <c r="I220" s="73"/>
      <c r="J220" s="129"/>
    </row>
    <row r="221" spans="1:12" s="9" customFormat="1" ht="22.5" customHeight="1">
      <c r="A221" s="681" t="s">
        <v>97</v>
      </c>
      <c r="B221" s="681" t="s">
        <v>187</v>
      </c>
      <c r="C221" s="668" t="s">
        <v>188</v>
      </c>
      <c r="D221" s="669"/>
      <c r="E221" s="679" t="s">
        <v>189</v>
      </c>
      <c r="F221" s="666" t="s">
        <v>169</v>
      </c>
      <c r="G221" s="681" t="s">
        <v>170</v>
      </c>
      <c r="H221" s="676" t="s">
        <v>171</v>
      </c>
      <c r="I221" s="72" t="s">
        <v>190</v>
      </c>
      <c r="J221" s="658" t="s">
        <v>172</v>
      </c>
      <c r="L221" s="534"/>
    </row>
    <row r="222" spans="1:12" s="5" customFormat="1" ht="18.75" customHeight="1">
      <c r="A222" s="682"/>
      <c r="B222" s="682"/>
      <c r="C222" s="4" t="s">
        <v>191</v>
      </c>
      <c r="D222" s="4" t="s">
        <v>192</v>
      </c>
      <c r="E222" s="680"/>
      <c r="F222" s="667"/>
      <c r="G222" s="682"/>
      <c r="H222" s="677"/>
      <c r="I222" s="70" t="s">
        <v>193</v>
      </c>
      <c r="J222" s="659"/>
      <c r="L222" s="20"/>
    </row>
    <row r="223" spans="1:12" s="127" customFormat="1" ht="30.75" customHeight="1">
      <c r="A223" s="167"/>
      <c r="B223" s="167">
        <v>63</v>
      </c>
      <c r="C223" s="374">
        <v>1085</v>
      </c>
      <c r="D223" s="126"/>
      <c r="E223" s="126"/>
      <c r="F223" s="32" t="s">
        <v>608</v>
      </c>
      <c r="G223" s="126"/>
      <c r="H223" s="126"/>
      <c r="I223" s="213"/>
      <c r="J223" s="128"/>
      <c r="L223" s="535"/>
    </row>
    <row r="224" spans="1:12" s="127" customFormat="1" ht="23.25" customHeight="1">
      <c r="A224" s="484"/>
      <c r="B224" s="167">
        <v>63</v>
      </c>
      <c r="C224" s="374">
        <v>1085</v>
      </c>
      <c r="D224" s="126">
        <v>2</v>
      </c>
      <c r="E224" s="126">
        <v>2</v>
      </c>
      <c r="F224" s="32" t="s">
        <v>238</v>
      </c>
      <c r="G224" s="126">
        <v>3</v>
      </c>
      <c r="H224" s="126" t="s">
        <v>488</v>
      </c>
      <c r="I224" s="213">
        <v>219.8</v>
      </c>
      <c r="J224" s="128">
        <f>I224*34</f>
        <v>7473.200000000001</v>
      </c>
      <c r="L224" s="535"/>
    </row>
    <row r="225" spans="1:12" s="127" customFormat="1" ht="23.25" customHeight="1">
      <c r="A225" s="758" t="s">
        <v>102</v>
      </c>
      <c r="B225" s="679">
        <v>62</v>
      </c>
      <c r="C225" s="873">
        <v>1359</v>
      </c>
      <c r="D225" s="126">
        <v>1</v>
      </c>
      <c r="E225" s="126"/>
      <c r="F225" s="32"/>
      <c r="G225" s="126"/>
      <c r="H225" s="126"/>
      <c r="I225" s="213"/>
      <c r="J225" s="128"/>
      <c r="L225" s="535"/>
    </row>
    <row r="226" spans="1:12" s="127" customFormat="1" ht="23.25" customHeight="1">
      <c r="A226" s="758"/>
      <c r="B226" s="758"/>
      <c r="C226" s="874"/>
      <c r="D226" s="126">
        <v>2</v>
      </c>
      <c r="E226" s="126">
        <v>2</v>
      </c>
      <c r="F226" s="32" t="s">
        <v>238</v>
      </c>
      <c r="G226" s="126">
        <v>3</v>
      </c>
      <c r="H226" s="126" t="s">
        <v>484</v>
      </c>
      <c r="I226" s="213">
        <v>471.01</v>
      </c>
      <c r="J226" s="128">
        <f aca="true" t="shared" si="0" ref="J226:J231">I226*34</f>
        <v>16014.34</v>
      </c>
      <c r="L226" s="535"/>
    </row>
    <row r="227" spans="1:12" s="127" customFormat="1" ht="23.25" customHeight="1">
      <c r="A227" s="758"/>
      <c r="B227" s="758"/>
      <c r="C227" s="874"/>
      <c r="D227" s="126">
        <v>3</v>
      </c>
      <c r="E227" s="126">
        <v>2</v>
      </c>
      <c r="F227" s="32" t="s">
        <v>238</v>
      </c>
      <c r="G227" s="126">
        <v>3</v>
      </c>
      <c r="H227" s="126" t="s">
        <v>485</v>
      </c>
      <c r="I227" s="213">
        <v>502.41</v>
      </c>
      <c r="J227" s="128">
        <f t="shared" si="0"/>
        <v>17081.940000000002</v>
      </c>
      <c r="L227" s="535"/>
    </row>
    <row r="228" spans="1:12" s="127" customFormat="1" ht="23.25" customHeight="1">
      <c r="A228" s="758"/>
      <c r="B228" s="758"/>
      <c r="C228" s="874"/>
      <c r="D228" s="126">
        <v>4</v>
      </c>
      <c r="E228" s="126">
        <v>2</v>
      </c>
      <c r="F228" s="32" t="s">
        <v>238</v>
      </c>
      <c r="G228" s="126">
        <v>3</v>
      </c>
      <c r="H228" s="126" t="s">
        <v>486</v>
      </c>
      <c r="I228" s="213">
        <v>596.61</v>
      </c>
      <c r="J228" s="128">
        <f t="shared" si="0"/>
        <v>20284.74</v>
      </c>
      <c r="L228" s="535"/>
    </row>
    <row r="229" spans="1:12" s="127" customFormat="1" ht="23.25" customHeight="1">
      <c r="A229" s="758"/>
      <c r="B229" s="758"/>
      <c r="C229" s="874"/>
      <c r="D229" s="126">
        <v>5</v>
      </c>
      <c r="E229" s="126">
        <v>2</v>
      </c>
      <c r="F229" s="32" t="s">
        <v>238</v>
      </c>
      <c r="G229" s="126">
        <v>3</v>
      </c>
      <c r="H229" s="126" t="s">
        <v>487</v>
      </c>
      <c r="I229" s="213">
        <v>596.61</v>
      </c>
      <c r="J229" s="128">
        <f t="shared" si="0"/>
        <v>20284.74</v>
      </c>
      <c r="L229" s="535"/>
    </row>
    <row r="230" spans="1:12" s="127" customFormat="1" ht="23.25" customHeight="1">
      <c r="A230" s="758"/>
      <c r="B230" s="758"/>
      <c r="C230" s="874"/>
      <c r="D230" s="126">
        <v>6</v>
      </c>
      <c r="E230" s="126">
        <v>2</v>
      </c>
      <c r="F230" s="32" t="s">
        <v>238</v>
      </c>
      <c r="G230" s="126">
        <v>3</v>
      </c>
      <c r="H230" s="126" t="s">
        <v>486</v>
      </c>
      <c r="I230" s="213">
        <v>596.61</v>
      </c>
      <c r="J230" s="128">
        <f t="shared" si="0"/>
        <v>20284.74</v>
      </c>
      <c r="L230" s="535"/>
    </row>
    <row r="231" spans="1:12" s="127" customFormat="1" ht="23.25" customHeight="1">
      <c r="A231" s="758"/>
      <c r="B231" s="758"/>
      <c r="C231" s="874"/>
      <c r="D231" s="126">
        <v>7</v>
      </c>
      <c r="E231" s="126">
        <v>2</v>
      </c>
      <c r="F231" s="32" t="s">
        <v>238</v>
      </c>
      <c r="G231" s="126">
        <v>3</v>
      </c>
      <c r="H231" s="126" t="s">
        <v>486</v>
      </c>
      <c r="I231" s="213">
        <v>596.61</v>
      </c>
      <c r="J231" s="128">
        <f t="shared" si="0"/>
        <v>20284.74</v>
      </c>
      <c r="L231" s="535"/>
    </row>
    <row r="232" spans="1:12" s="127" customFormat="1" ht="27.75" customHeight="1">
      <c r="A232" s="680"/>
      <c r="B232" s="680"/>
      <c r="C232" s="875"/>
      <c r="D232" s="126">
        <v>8</v>
      </c>
      <c r="E232" s="126"/>
      <c r="F232" s="32" t="s">
        <v>370</v>
      </c>
      <c r="G232" s="126"/>
      <c r="H232" s="126" t="s">
        <v>395</v>
      </c>
      <c r="I232" s="213"/>
      <c r="J232" s="128"/>
      <c r="L232" s="535"/>
    </row>
    <row r="233" spans="1:12" s="127" customFormat="1" ht="27.75" customHeight="1">
      <c r="A233" s="704" t="s">
        <v>489</v>
      </c>
      <c r="B233" s="704"/>
      <c r="C233" s="704"/>
      <c r="D233" s="704"/>
      <c r="E233" s="704"/>
      <c r="F233" s="704"/>
      <c r="G233" s="704"/>
      <c r="H233" s="704"/>
      <c r="I233" s="704"/>
      <c r="J233" s="507">
        <f>SUM(J224:J232)</f>
        <v>121708.44000000002</v>
      </c>
      <c r="L233" s="535"/>
    </row>
    <row r="234" spans="1:12" s="127" customFormat="1" ht="23.25" customHeight="1">
      <c r="A234" s="852"/>
      <c r="B234" s="853"/>
      <c r="C234" s="853"/>
      <c r="D234" s="853"/>
      <c r="E234" s="853"/>
      <c r="F234" s="853"/>
      <c r="G234" s="853"/>
      <c r="H234" s="853"/>
      <c r="I234" s="853"/>
      <c r="J234" s="854"/>
      <c r="L234" s="535"/>
    </row>
    <row r="235" spans="1:10" ht="26.25">
      <c r="A235" s="705" t="s">
        <v>185</v>
      </c>
      <c r="B235" s="705"/>
      <c r="C235" s="705"/>
      <c r="D235" s="705"/>
      <c r="E235" s="705"/>
      <c r="F235" s="705"/>
      <c r="G235" s="705"/>
      <c r="H235" s="705"/>
      <c r="I235" s="705"/>
      <c r="J235" s="705"/>
    </row>
    <row r="236" spans="1:10" ht="16.5" customHeight="1">
      <c r="A236" s="697" t="s">
        <v>5</v>
      </c>
      <c r="B236" s="697"/>
      <c r="C236" s="697"/>
      <c r="D236" s="697"/>
      <c r="E236" s="697"/>
      <c r="F236" s="709"/>
      <c r="G236" s="709"/>
      <c r="H236" s="709"/>
      <c r="I236" s="709"/>
      <c r="J236" s="709"/>
    </row>
    <row r="237" spans="1:10" ht="9" customHeight="1">
      <c r="A237" s="5"/>
      <c r="B237" s="5"/>
      <c r="C237" s="5"/>
      <c r="D237" s="5"/>
      <c r="E237" s="5"/>
      <c r="F237" s="5"/>
      <c r="G237" s="5"/>
      <c r="H237" s="52"/>
      <c r="I237" s="69"/>
      <c r="J237" s="20"/>
    </row>
    <row r="238" spans="1:10" ht="15.75">
      <c r="A238" s="709" t="s">
        <v>518</v>
      </c>
      <c r="B238" s="709"/>
      <c r="C238" s="709"/>
      <c r="D238" s="709"/>
      <c r="E238" s="709"/>
      <c r="F238" s="709"/>
      <c r="G238" s="709"/>
      <c r="H238" s="709"/>
      <c r="I238" s="69"/>
      <c r="J238" s="20"/>
    </row>
    <row r="239" spans="1:10" ht="7.5" customHeight="1">
      <c r="A239" s="5"/>
      <c r="B239" s="5"/>
      <c r="C239" s="5"/>
      <c r="D239" s="5"/>
      <c r="E239" s="5"/>
      <c r="F239" s="5"/>
      <c r="G239" s="5"/>
      <c r="H239" s="52"/>
      <c r="I239" s="69"/>
      <c r="J239" s="20"/>
    </row>
    <row r="240" spans="1:10" ht="15.75">
      <c r="A240" s="709" t="s">
        <v>461</v>
      </c>
      <c r="B240" s="709"/>
      <c r="C240" s="709"/>
      <c r="D240" s="709"/>
      <c r="E240" s="709"/>
      <c r="F240" s="709"/>
      <c r="G240" s="709"/>
      <c r="H240" s="709"/>
      <c r="I240" s="709"/>
      <c r="J240" s="709"/>
    </row>
    <row r="241" spans="1:10" ht="9" customHeight="1">
      <c r="A241" s="5"/>
      <c r="B241" s="5"/>
      <c r="C241" s="5"/>
      <c r="D241" s="5"/>
      <c r="E241" s="5"/>
      <c r="F241" s="5"/>
      <c r="G241" s="5"/>
      <c r="H241" s="52"/>
      <c r="I241" s="69"/>
      <c r="J241" s="20"/>
    </row>
    <row r="242" spans="1:12" s="9" customFormat="1" ht="19.5" customHeight="1">
      <c r="A242" s="681" t="s">
        <v>97</v>
      </c>
      <c r="B242" s="681" t="s">
        <v>187</v>
      </c>
      <c r="C242" s="668" t="s">
        <v>188</v>
      </c>
      <c r="D242" s="669"/>
      <c r="E242" s="679" t="s">
        <v>189</v>
      </c>
      <c r="F242" s="681" t="s">
        <v>169</v>
      </c>
      <c r="G242" s="681" t="s">
        <v>170</v>
      </c>
      <c r="H242" s="676" t="s">
        <v>171</v>
      </c>
      <c r="I242" s="72" t="s">
        <v>190</v>
      </c>
      <c r="J242" s="658" t="s">
        <v>172</v>
      </c>
      <c r="L242" s="534"/>
    </row>
    <row r="243" spans="1:12" s="5" customFormat="1" ht="17.25" customHeight="1">
      <c r="A243" s="682"/>
      <c r="B243" s="682"/>
      <c r="C243" s="4" t="s">
        <v>191</v>
      </c>
      <c r="D243" s="4" t="s">
        <v>192</v>
      </c>
      <c r="E243" s="680"/>
      <c r="F243" s="682"/>
      <c r="G243" s="682"/>
      <c r="H243" s="677"/>
      <c r="I243" s="70" t="s">
        <v>193</v>
      </c>
      <c r="J243" s="659"/>
      <c r="L243" s="20"/>
    </row>
    <row r="244" spans="1:12" s="5" customFormat="1" ht="28.5" customHeight="1">
      <c r="A244" s="165" t="s">
        <v>412</v>
      </c>
      <c r="B244" s="850">
        <v>26</v>
      </c>
      <c r="C244" s="703">
        <v>477</v>
      </c>
      <c r="D244" s="10">
        <v>2</v>
      </c>
      <c r="E244" s="376">
        <v>2</v>
      </c>
      <c r="F244" s="165" t="s">
        <v>241</v>
      </c>
      <c r="G244" s="165"/>
      <c r="H244" s="380" t="s">
        <v>604</v>
      </c>
      <c r="I244" s="77">
        <v>288.65</v>
      </c>
      <c r="J244" s="373"/>
      <c r="L244" s="20"/>
    </row>
    <row r="245" spans="1:12" s="5" customFormat="1" ht="37.5" customHeight="1">
      <c r="A245" s="246" t="s">
        <v>17</v>
      </c>
      <c r="B245" s="851"/>
      <c r="C245" s="703"/>
      <c r="D245" s="10">
        <v>4</v>
      </c>
      <c r="E245" s="10">
        <v>2</v>
      </c>
      <c r="F245" s="10" t="s">
        <v>241</v>
      </c>
      <c r="G245" s="10" t="s">
        <v>173</v>
      </c>
      <c r="H245" s="11" t="s">
        <v>603</v>
      </c>
      <c r="I245" s="77">
        <v>10156.12</v>
      </c>
      <c r="J245" s="18"/>
      <c r="L245" s="20"/>
    </row>
    <row r="246" spans="1:12" s="5" customFormat="1" ht="36.75" customHeight="1">
      <c r="A246" s="246" t="s">
        <v>18</v>
      </c>
      <c r="B246" s="851"/>
      <c r="C246" s="703"/>
      <c r="D246" s="10">
        <v>6</v>
      </c>
      <c r="E246" s="10">
        <v>2</v>
      </c>
      <c r="F246" s="10" t="s">
        <v>241</v>
      </c>
      <c r="G246" s="10" t="s">
        <v>173</v>
      </c>
      <c r="H246" s="11" t="s">
        <v>602</v>
      </c>
      <c r="I246" s="77">
        <v>2078.74</v>
      </c>
      <c r="J246" s="18"/>
      <c r="L246" s="20"/>
    </row>
    <row r="247" spans="1:12" s="5" customFormat="1" ht="41.25" customHeight="1">
      <c r="A247" s="246" t="s">
        <v>18</v>
      </c>
      <c r="B247" s="851"/>
      <c r="C247" s="703"/>
      <c r="D247" s="10">
        <v>8</v>
      </c>
      <c r="E247" s="10"/>
      <c r="F247" s="10">
        <v>0</v>
      </c>
      <c r="G247" s="10"/>
      <c r="H247" s="11"/>
      <c r="I247" s="77"/>
      <c r="J247" s="86" t="s">
        <v>601</v>
      </c>
      <c r="L247" s="20"/>
    </row>
    <row r="248" spans="1:12" s="5" customFormat="1" ht="41.25" customHeight="1">
      <c r="A248" s="246" t="s">
        <v>18</v>
      </c>
      <c r="B248" s="792"/>
      <c r="C248" s="703"/>
      <c r="D248" s="10">
        <v>9</v>
      </c>
      <c r="E248" s="10">
        <v>2</v>
      </c>
      <c r="F248" s="10" t="s">
        <v>232</v>
      </c>
      <c r="G248" s="10" t="s">
        <v>173</v>
      </c>
      <c r="H248" s="11" t="s">
        <v>605</v>
      </c>
      <c r="I248" s="77">
        <v>2091.65</v>
      </c>
      <c r="J248" s="17"/>
      <c r="L248" s="20"/>
    </row>
    <row r="249" spans="1:12" s="5" customFormat="1" ht="18.75" customHeight="1">
      <c r="A249" s="855" t="s">
        <v>290</v>
      </c>
      <c r="B249" s="856"/>
      <c r="C249" s="856"/>
      <c r="D249" s="856"/>
      <c r="E249" s="856"/>
      <c r="F249" s="856"/>
      <c r="G249" s="856"/>
      <c r="H249" s="856"/>
      <c r="I249" s="857"/>
      <c r="J249" s="550">
        <v>1044477</v>
      </c>
      <c r="L249" s="20"/>
    </row>
    <row r="250" spans="1:12" s="1" customFormat="1" ht="18.75" customHeight="1">
      <c r="A250" s="849" t="s">
        <v>442</v>
      </c>
      <c r="B250" s="849"/>
      <c r="C250" s="849"/>
      <c r="D250" s="849"/>
      <c r="E250" s="849"/>
      <c r="F250" s="849"/>
      <c r="G250" s="849"/>
      <c r="H250" s="849"/>
      <c r="I250" s="849"/>
      <c r="J250" s="31">
        <v>2292703.8</v>
      </c>
      <c r="K250" s="85"/>
      <c r="L250" s="85"/>
    </row>
    <row r="251" spans="1:14" s="1" customFormat="1" ht="18.75" customHeight="1" thickBot="1">
      <c r="A251" s="849" t="s">
        <v>607</v>
      </c>
      <c r="B251" s="849"/>
      <c r="C251" s="849"/>
      <c r="D251" s="849"/>
      <c r="E251" s="849"/>
      <c r="F251" s="849"/>
      <c r="G251" s="849"/>
      <c r="H251" s="849"/>
      <c r="I251" s="849"/>
      <c r="J251" s="31">
        <v>838325.9</v>
      </c>
      <c r="K251" s="85"/>
      <c r="L251" s="85">
        <f>872172.85+1944.5</f>
        <v>874117.35</v>
      </c>
      <c r="N251" s="651">
        <f>J251+42134.4</f>
        <v>880460.3</v>
      </c>
    </row>
    <row r="252" spans="1:14" s="1" customFormat="1" ht="18.75" customHeight="1" thickBot="1">
      <c r="A252" s="876" t="s">
        <v>242</v>
      </c>
      <c r="B252" s="877"/>
      <c r="C252" s="877"/>
      <c r="D252" s="877"/>
      <c r="E252" s="877"/>
      <c r="F252" s="877"/>
      <c r="G252" s="877"/>
      <c r="H252" s="877"/>
      <c r="I252" s="878"/>
      <c r="J252" s="549">
        <f>SUM(J249:J251)</f>
        <v>4175506.6999999997</v>
      </c>
      <c r="K252" s="85">
        <f>J252-3337180.8</f>
        <v>838325.8999999999</v>
      </c>
      <c r="L252" s="85"/>
      <c r="N252" s="651">
        <f>J252+42134.4</f>
        <v>4217641.1</v>
      </c>
    </row>
    <row r="253" spans="1:12" ht="36.75" customHeight="1">
      <c r="A253" s="735" t="s">
        <v>641</v>
      </c>
      <c r="B253" s="848"/>
      <c r="C253" s="848"/>
      <c r="D253" s="848"/>
      <c r="E253" s="848"/>
      <c r="F253" s="848"/>
      <c r="G253" s="848"/>
      <c r="H253" s="848"/>
      <c r="I253" s="848"/>
      <c r="J253" s="848"/>
      <c r="K253" s="16"/>
      <c r="L253" s="16">
        <f>J252-4211298.15</f>
        <v>-35791.45000000065</v>
      </c>
    </row>
    <row r="254" spans="1:12" s="5" customFormat="1" ht="12" customHeight="1">
      <c r="A254" s="37"/>
      <c r="B254" s="37"/>
      <c r="C254" s="37"/>
      <c r="D254" s="37"/>
      <c r="E254" s="37"/>
      <c r="F254" s="37"/>
      <c r="G254" s="37"/>
      <c r="H254" s="37"/>
      <c r="I254" s="37"/>
      <c r="J254" s="39"/>
      <c r="K254" s="20"/>
      <c r="L254" s="20"/>
    </row>
    <row r="255" spans="1:12" s="410" customFormat="1" ht="18.75" customHeight="1">
      <c r="A255" s="858" t="s">
        <v>212</v>
      </c>
      <c r="B255" s="858"/>
      <c r="C255" s="858"/>
      <c r="D255" s="858"/>
      <c r="E255" s="858"/>
      <c r="F255" s="858"/>
      <c r="G255" s="858"/>
      <c r="H255" s="858"/>
      <c r="I255" s="858"/>
      <c r="J255" s="858"/>
      <c r="L255" s="536"/>
    </row>
    <row r="256" spans="1:12" s="5" customFormat="1" ht="18" customHeight="1">
      <c r="A256" s="697" t="s">
        <v>463</v>
      </c>
      <c r="B256" s="697"/>
      <c r="C256" s="697"/>
      <c r="D256" s="697"/>
      <c r="E256" s="697"/>
      <c r="F256" s="709"/>
      <c r="G256" s="709"/>
      <c r="H256" s="709"/>
      <c r="I256" s="709"/>
      <c r="J256" s="709"/>
      <c r="L256" s="20"/>
    </row>
    <row r="257" ht="8.25" customHeight="1"/>
    <row r="258" spans="1:7" ht="18">
      <c r="A258" s="671" t="s">
        <v>519</v>
      </c>
      <c r="B258" s="671"/>
      <c r="C258" s="671"/>
      <c r="D258" s="671"/>
      <c r="E258" s="671"/>
      <c r="F258" s="671"/>
      <c r="G258" s="671"/>
    </row>
    <row r="259" ht="5.25" customHeight="1"/>
    <row r="260" spans="1:6" ht="18">
      <c r="A260" s="671" t="s">
        <v>462</v>
      </c>
      <c r="B260" s="671"/>
      <c r="C260" s="671"/>
      <c r="D260" s="671"/>
      <c r="E260" s="671"/>
      <c r="F260" s="13"/>
    </row>
    <row r="261" spans="1:12" s="9" customFormat="1" ht="19.5" customHeight="1">
      <c r="A261" s="681" t="s">
        <v>97</v>
      </c>
      <c r="B261" s="681" t="s">
        <v>187</v>
      </c>
      <c r="C261" s="668" t="s">
        <v>188</v>
      </c>
      <c r="D261" s="669"/>
      <c r="E261" s="859" t="s">
        <v>216</v>
      </c>
      <c r="F261" s="681" t="s">
        <v>213</v>
      </c>
      <c r="G261" s="681" t="s">
        <v>170</v>
      </c>
      <c r="H261" s="715" t="s">
        <v>214</v>
      </c>
      <c r="I261" s="713" t="s">
        <v>215</v>
      </c>
      <c r="J261" s="658" t="s">
        <v>172</v>
      </c>
      <c r="L261" s="534"/>
    </row>
    <row r="262" spans="1:12" s="5" customFormat="1" ht="13.5" customHeight="1">
      <c r="A262" s="682"/>
      <c r="B262" s="682"/>
      <c r="C262" s="4" t="s">
        <v>191</v>
      </c>
      <c r="D262" s="4" t="s">
        <v>192</v>
      </c>
      <c r="E262" s="860"/>
      <c r="F262" s="682"/>
      <c r="G262" s="682"/>
      <c r="H262" s="716"/>
      <c r="I262" s="714"/>
      <c r="J262" s="659"/>
      <c r="L262" s="20"/>
    </row>
    <row r="263" spans="1:12" s="151" customFormat="1" ht="19.5" customHeight="1">
      <c r="A263" s="344" t="s">
        <v>413</v>
      </c>
      <c r="B263" s="143">
        <v>26</v>
      </c>
      <c r="C263" s="142">
        <v>164</v>
      </c>
      <c r="D263" s="142"/>
      <c r="E263" s="375" t="s">
        <v>606</v>
      </c>
      <c r="F263" s="345" t="s">
        <v>246</v>
      </c>
      <c r="G263" s="143">
        <v>3</v>
      </c>
      <c r="H263" s="145">
        <v>6.32</v>
      </c>
      <c r="I263" s="146">
        <v>7.9</v>
      </c>
      <c r="J263" s="145">
        <v>0</v>
      </c>
      <c r="L263" s="487"/>
    </row>
    <row r="264" spans="1:12" s="151" customFormat="1" ht="35.25" customHeight="1">
      <c r="A264" s="344" t="s">
        <v>413</v>
      </c>
      <c r="B264" s="143">
        <v>26</v>
      </c>
      <c r="C264" s="142">
        <v>172</v>
      </c>
      <c r="D264" s="142"/>
      <c r="E264" s="388" t="s">
        <v>414</v>
      </c>
      <c r="F264" s="345" t="s">
        <v>415</v>
      </c>
      <c r="G264" s="143" t="s">
        <v>173</v>
      </c>
      <c r="H264" s="145">
        <v>0.05</v>
      </c>
      <c r="I264" s="146">
        <v>0.02</v>
      </c>
      <c r="J264" s="145">
        <v>0</v>
      </c>
      <c r="L264" s="487"/>
    </row>
    <row r="265" spans="1:12" s="151" customFormat="1" ht="35.25" customHeight="1">
      <c r="A265" s="344" t="s">
        <v>413</v>
      </c>
      <c r="B265" s="143">
        <v>26</v>
      </c>
      <c r="C265" s="142">
        <v>223</v>
      </c>
      <c r="D265" s="142"/>
      <c r="E265" s="388" t="s">
        <v>416</v>
      </c>
      <c r="F265" s="345" t="s">
        <v>246</v>
      </c>
      <c r="G265" s="143">
        <v>3</v>
      </c>
      <c r="H265" s="145">
        <v>1.21</v>
      </c>
      <c r="I265" s="146">
        <v>1.31</v>
      </c>
      <c r="J265" s="145">
        <v>0</v>
      </c>
      <c r="L265" s="487"/>
    </row>
    <row r="266" spans="1:12" s="151" customFormat="1" ht="35.25" customHeight="1">
      <c r="A266" s="344" t="s">
        <v>413</v>
      </c>
      <c r="B266" s="143">
        <v>26</v>
      </c>
      <c r="C266" s="142">
        <v>347</v>
      </c>
      <c r="D266" s="142"/>
      <c r="E266" s="388" t="s">
        <v>417</v>
      </c>
      <c r="F266" s="345" t="s">
        <v>418</v>
      </c>
      <c r="G266" s="143"/>
      <c r="H266" s="145"/>
      <c r="I266" s="146"/>
      <c r="J266" s="145">
        <v>0</v>
      </c>
      <c r="L266" s="487"/>
    </row>
    <row r="267" spans="1:12" s="151" customFormat="1" ht="27.75" customHeight="1">
      <c r="A267" s="381"/>
      <c r="B267" s="382"/>
      <c r="C267" s="383"/>
      <c r="D267" s="383"/>
      <c r="E267" s="384"/>
      <c r="F267" s="385"/>
      <c r="G267" s="382"/>
      <c r="H267" s="386"/>
      <c r="I267" s="387"/>
      <c r="J267" s="399" t="s">
        <v>443</v>
      </c>
      <c r="L267" s="487"/>
    </row>
    <row r="268" spans="1:10" ht="36.75" customHeight="1">
      <c r="A268" s="675"/>
      <c r="B268" s="675"/>
      <c r="C268" s="675"/>
      <c r="D268" s="675"/>
      <c r="E268" s="675"/>
      <c r="F268" s="675"/>
      <c r="G268" s="675"/>
      <c r="H268" s="675"/>
      <c r="I268" s="675"/>
      <c r="J268" s="675"/>
    </row>
    <row r="269" spans="1:10" ht="26.25">
      <c r="A269" s="705" t="s">
        <v>185</v>
      </c>
      <c r="B269" s="705"/>
      <c r="C269" s="705"/>
      <c r="D269" s="705"/>
      <c r="E269" s="705"/>
      <c r="F269" s="705"/>
      <c r="G269" s="705"/>
      <c r="H269" s="705"/>
      <c r="I269" s="705"/>
      <c r="J269" s="705"/>
    </row>
    <row r="270" spans="1:10" ht="36" customHeight="1">
      <c r="A270" s="670" t="s">
        <v>460</v>
      </c>
      <c r="B270" s="670"/>
      <c r="C270" s="670"/>
      <c r="D270" s="670"/>
      <c r="E270" s="670"/>
      <c r="F270" s="671"/>
      <c r="G270" s="671"/>
      <c r="H270" s="671"/>
      <c r="I270" s="671"/>
      <c r="J270" s="671"/>
    </row>
    <row r="272" ht="18">
      <c r="A272" s="8" t="s">
        <v>243</v>
      </c>
    </row>
    <row r="274" spans="1:10" ht="18">
      <c r="A274" s="671" t="s">
        <v>235</v>
      </c>
      <c r="B274" s="671"/>
      <c r="C274" s="671"/>
      <c r="D274" s="671"/>
      <c r="E274" s="671"/>
      <c r="F274" s="671"/>
      <c r="G274" s="671"/>
      <c r="H274" s="671"/>
      <c r="I274" s="671"/>
      <c r="J274" s="671"/>
    </row>
    <row r="276" spans="1:12" s="9" customFormat="1" ht="33" customHeight="1">
      <c r="A276" s="681" t="s">
        <v>254</v>
      </c>
      <c r="B276" s="681" t="s">
        <v>187</v>
      </c>
      <c r="C276" s="668" t="s">
        <v>188</v>
      </c>
      <c r="D276" s="669"/>
      <c r="E276" s="679" t="s">
        <v>189</v>
      </c>
      <c r="F276" s="666" t="s">
        <v>169</v>
      </c>
      <c r="G276" s="681" t="s">
        <v>170</v>
      </c>
      <c r="H276" s="676" t="s">
        <v>171</v>
      </c>
      <c r="I276" s="72" t="s">
        <v>190</v>
      </c>
      <c r="J276" s="658" t="s">
        <v>172</v>
      </c>
      <c r="L276" s="534"/>
    </row>
    <row r="277" spans="1:12" s="5" customFormat="1" ht="24.75" customHeight="1">
      <c r="A277" s="682"/>
      <c r="B277" s="682"/>
      <c r="C277" s="4" t="s">
        <v>191</v>
      </c>
      <c r="D277" s="4" t="s">
        <v>192</v>
      </c>
      <c r="E277" s="680"/>
      <c r="F277" s="667"/>
      <c r="G277" s="682"/>
      <c r="H277" s="677"/>
      <c r="I277" s="70" t="s">
        <v>193</v>
      </c>
      <c r="J277" s="659"/>
      <c r="L277" s="20"/>
    </row>
    <row r="278" spans="1:12" s="5" customFormat="1" ht="54.75" customHeight="1">
      <c r="A278" s="167" t="s">
        <v>103</v>
      </c>
      <c r="B278" s="27">
        <v>69</v>
      </c>
      <c r="C278" s="598">
        <v>19</v>
      </c>
      <c r="D278" s="27">
        <v>1</v>
      </c>
      <c r="E278" s="27">
        <v>1</v>
      </c>
      <c r="F278" s="27" t="s">
        <v>234</v>
      </c>
      <c r="G278" s="27">
        <v>3</v>
      </c>
      <c r="H278" s="365" t="s">
        <v>244</v>
      </c>
      <c r="I278" s="87">
        <f>8750000/1936.27</f>
        <v>4518.9978670330065</v>
      </c>
      <c r="J278" s="583">
        <f>I278*100</f>
        <v>451899.78670330066</v>
      </c>
      <c r="L278" s="20"/>
    </row>
    <row r="279" spans="1:12" s="5" customFormat="1" ht="34.5" customHeight="1">
      <c r="A279" s="652" t="s">
        <v>290</v>
      </c>
      <c r="B279" s="653"/>
      <c r="C279" s="653"/>
      <c r="D279" s="653"/>
      <c r="E279" s="653"/>
      <c r="F279" s="653"/>
      <c r="G279" s="653"/>
      <c r="H279" s="653"/>
      <c r="I279" s="654"/>
      <c r="J279" s="31">
        <f>SUM(J278)</f>
        <v>451899.78670330066</v>
      </c>
      <c r="L279" s="20"/>
    </row>
    <row r="280" spans="1:12" s="46" customFormat="1" ht="34.5" customHeight="1" thickBot="1">
      <c r="A280" s="736" t="s">
        <v>550</v>
      </c>
      <c r="B280" s="737"/>
      <c r="C280" s="737"/>
      <c r="D280" s="737"/>
      <c r="E280" s="737"/>
      <c r="F280" s="737"/>
      <c r="G280" s="737"/>
      <c r="H280" s="737"/>
      <c r="I280" s="738"/>
      <c r="J280" s="42">
        <v>344612.88</v>
      </c>
      <c r="L280" s="401"/>
    </row>
    <row r="281" spans="1:12" s="5" customFormat="1" ht="24.75" customHeight="1" thickBot="1">
      <c r="A281" s="739" t="s">
        <v>242</v>
      </c>
      <c r="B281" s="740"/>
      <c r="C281" s="740"/>
      <c r="D281" s="740"/>
      <c r="E281" s="741"/>
      <c r="F281" s="742"/>
      <c r="G281" s="742"/>
      <c r="H281" s="742"/>
      <c r="I281" s="742"/>
      <c r="J281" s="597">
        <f>SUM(J279:J280)</f>
        <v>796512.6667033007</v>
      </c>
      <c r="K281" s="20">
        <f>J281-784312.67</f>
        <v>12199.996703300625</v>
      </c>
      <c r="L281" s="20"/>
    </row>
    <row r="282" spans="1:12" s="5" customFormat="1" ht="49.5" customHeight="1">
      <c r="A282" s="735" t="s">
        <v>591</v>
      </c>
      <c r="B282" s="735"/>
      <c r="C282" s="735"/>
      <c r="D282" s="735"/>
      <c r="E282" s="735"/>
      <c r="F282" s="735"/>
      <c r="G282" s="735"/>
      <c r="H282" s="735"/>
      <c r="I282" s="735"/>
      <c r="J282" s="735"/>
      <c r="L282" s="20"/>
    </row>
    <row r="283" spans="1:12" s="5" customFormat="1" ht="24.75" customHeight="1">
      <c r="A283" s="37"/>
      <c r="B283" s="37"/>
      <c r="C283" s="37"/>
      <c r="D283" s="37"/>
      <c r="E283" s="37"/>
      <c r="F283" s="37"/>
      <c r="G283" s="37"/>
      <c r="H283" s="37"/>
      <c r="I283" s="37"/>
      <c r="J283" s="39"/>
      <c r="K283" s="20"/>
      <c r="L283" s="20"/>
    </row>
    <row r="284" spans="1:12" s="5" customFormat="1" ht="54" customHeight="1">
      <c r="A284" s="32" t="s">
        <v>103</v>
      </c>
      <c r="B284" s="275">
        <v>69</v>
      </c>
      <c r="C284" s="27">
        <v>19</v>
      </c>
      <c r="D284" s="598">
        <v>2</v>
      </c>
      <c r="E284" s="27">
        <v>1</v>
      </c>
      <c r="F284" s="27" t="s">
        <v>234</v>
      </c>
      <c r="G284" s="27">
        <v>3</v>
      </c>
      <c r="H284" s="365" t="s">
        <v>549</v>
      </c>
      <c r="I284" s="87">
        <v>1547.31</v>
      </c>
      <c r="J284" s="583">
        <f>I284*100</f>
        <v>154731</v>
      </c>
      <c r="L284" s="20"/>
    </row>
    <row r="285" spans="1:12" s="1" customFormat="1" ht="24.75" customHeight="1">
      <c r="A285" s="844" t="s">
        <v>442</v>
      </c>
      <c r="B285" s="845"/>
      <c r="C285" s="845"/>
      <c r="D285" s="845"/>
      <c r="E285" s="845"/>
      <c r="F285" s="845"/>
      <c r="G285" s="845"/>
      <c r="H285" s="845"/>
      <c r="I285" s="846"/>
      <c r="J285" s="120">
        <v>231034.52</v>
      </c>
      <c r="K285" s="120"/>
      <c r="L285" s="85"/>
    </row>
    <row r="286" spans="1:12" s="46" customFormat="1" ht="34.5" customHeight="1">
      <c r="A286" s="662" t="s">
        <v>290</v>
      </c>
      <c r="B286" s="663"/>
      <c r="C286" s="663"/>
      <c r="D286" s="663"/>
      <c r="E286" s="663"/>
      <c r="F286" s="663"/>
      <c r="G286" s="663"/>
      <c r="H286" s="663"/>
      <c r="I286" s="664"/>
      <c r="J286" s="31">
        <f>SUM(J284:J285)</f>
        <v>385765.52</v>
      </c>
      <c r="K286" s="401"/>
      <c r="L286" s="401"/>
    </row>
    <row r="287" spans="1:12" s="5" customFormat="1" ht="34.5" customHeight="1">
      <c r="A287" s="665" t="s">
        <v>564</v>
      </c>
      <c r="B287" s="665"/>
      <c r="C287" s="665"/>
      <c r="D287" s="665"/>
      <c r="E287" s="665"/>
      <c r="F287" s="665"/>
      <c r="G287" s="665"/>
      <c r="H287" s="665"/>
      <c r="I287" s="665"/>
      <c r="J287" s="665"/>
      <c r="L287" s="20"/>
    </row>
    <row r="288" spans="1:10" ht="23.25" customHeight="1">
      <c r="A288" s="705" t="s">
        <v>185</v>
      </c>
      <c r="B288" s="705"/>
      <c r="C288" s="705"/>
      <c r="D288" s="705"/>
      <c r="E288" s="705"/>
      <c r="F288" s="705"/>
      <c r="G288" s="705"/>
      <c r="H288" s="705"/>
      <c r="I288" s="705"/>
      <c r="J288" s="705"/>
    </row>
    <row r="289" spans="1:10" ht="18.75" customHeight="1">
      <c r="A289" s="670" t="s">
        <v>316</v>
      </c>
      <c r="B289" s="670"/>
      <c r="C289" s="670"/>
      <c r="D289" s="670"/>
      <c r="E289" s="670"/>
      <c r="F289" s="671"/>
      <c r="G289" s="671"/>
      <c r="H289" s="671"/>
      <c r="I289" s="671"/>
      <c r="J289" s="671"/>
    </row>
    <row r="290" ht="9" customHeight="1"/>
    <row r="291" ht="25.5" customHeight="1">
      <c r="A291" s="8" t="s">
        <v>245</v>
      </c>
    </row>
    <row r="292" ht="25.5" customHeight="1"/>
    <row r="293" spans="1:10" ht="45.75" customHeight="1">
      <c r="A293" s="670" t="s">
        <v>325</v>
      </c>
      <c r="B293" s="670"/>
      <c r="C293" s="670"/>
      <c r="D293" s="670"/>
      <c r="E293" s="670"/>
      <c r="F293" s="670"/>
      <c r="G293" s="670"/>
      <c r="H293" s="670"/>
      <c r="I293" s="670"/>
      <c r="J293" s="670"/>
    </row>
    <row r="295" spans="1:12" s="9" customFormat="1" ht="33" customHeight="1">
      <c r="A295" s="681" t="s">
        <v>97</v>
      </c>
      <c r="B295" s="681" t="s">
        <v>187</v>
      </c>
      <c r="C295" s="668" t="s">
        <v>188</v>
      </c>
      <c r="D295" s="669"/>
      <c r="E295" s="679" t="s">
        <v>189</v>
      </c>
      <c r="F295" s="666" t="s">
        <v>169</v>
      </c>
      <c r="G295" s="681" t="s">
        <v>170</v>
      </c>
      <c r="H295" s="676" t="s">
        <v>171</v>
      </c>
      <c r="I295" s="72" t="s">
        <v>190</v>
      </c>
      <c r="J295" s="658" t="s">
        <v>172</v>
      </c>
      <c r="L295" s="534"/>
    </row>
    <row r="296" spans="1:12" s="5" customFormat="1" ht="29.25" customHeight="1">
      <c r="A296" s="682"/>
      <c r="B296" s="682"/>
      <c r="C296" s="4" t="s">
        <v>191</v>
      </c>
      <c r="D296" s="4" t="s">
        <v>192</v>
      </c>
      <c r="E296" s="680"/>
      <c r="F296" s="667"/>
      <c r="G296" s="682"/>
      <c r="H296" s="677"/>
      <c r="I296" s="70" t="s">
        <v>193</v>
      </c>
      <c r="J296" s="659"/>
      <c r="L296" s="20"/>
    </row>
    <row r="297" spans="1:12" s="5" customFormat="1" ht="30" customHeight="1">
      <c r="A297" s="307" t="s">
        <v>520</v>
      </c>
      <c r="B297" s="10">
        <v>56</v>
      </c>
      <c r="C297" s="10">
        <v>323</v>
      </c>
      <c r="D297" s="10">
        <v>1</v>
      </c>
      <c r="E297" s="10">
        <v>2</v>
      </c>
      <c r="F297" s="10" t="s">
        <v>317</v>
      </c>
      <c r="G297" s="10" t="s">
        <v>173</v>
      </c>
      <c r="H297" s="11" t="s">
        <v>406</v>
      </c>
      <c r="I297" s="77">
        <v>16035.99</v>
      </c>
      <c r="J297" s="18">
        <f>(I297*100)</f>
        <v>1603599</v>
      </c>
      <c r="L297" s="20"/>
    </row>
    <row r="298" spans="1:12" s="5" customFormat="1" ht="34.5" customHeight="1">
      <c r="A298" s="48" t="s">
        <v>319</v>
      </c>
      <c r="B298" s="10"/>
      <c r="C298" s="10"/>
      <c r="D298" s="10">
        <v>2</v>
      </c>
      <c r="E298" s="10"/>
      <c r="F298" s="589" t="s">
        <v>513</v>
      </c>
      <c r="G298" s="10"/>
      <c r="H298" s="11"/>
      <c r="I298" s="77"/>
      <c r="J298" s="18">
        <f aca="true" t="shared" si="1" ref="J298:J319">(I298*100)</f>
        <v>0</v>
      </c>
      <c r="L298" s="20"/>
    </row>
    <row r="299" spans="1:12" s="5" customFormat="1" ht="37.5" customHeight="1">
      <c r="A299" s="48" t="s">
        <v>319</v>
      </c>
      <c r="B299" s="10"/>
      <c r="C299" s="10"/>
      <c r="D299" s="10">
        <v>3</v>
      </c>
      <c r="E299" s="10"/>
      <c r="F299" s="47" t="s">
        <v>514</v>
      </c>
      <c r="G299" s="10"/>
      <c r="H299" s="11"/>
      <c r="I299" s="77"/>
      <c r="J299" s="18">
        <f t="shared" si="1"/>
        <v>0</v>
      </c>
      <c r="L299" s="20"/>
    </row>
    <row r="300" spans="1:12" s="5" customFormat="1" ht="35.25" customHeight="1">
      <c r="A300" s="48" t="s">
        <v>319</v>
      </c>
      <c r="B300" s="10"/>
      <c r="C300" s="10"/>
      <c r="D300" s="10">
        <v>4</v>
      </c>
      <c r="E300" s="10"/>
      <c r="F300" s="47" t="s">
        <v>514</v>
      </c>
      <c r="G300" s="10"/>
      <c r="H300" s="11"/>
      <c r="I300" s="77"/>
      <c r="J300" s="18">
        <f t="shared" si="1"/>
        <v>0</v>
      </c>
      <c r="L300" s="20"/>
    </row>
    <row r="301" spans="1:12" s="5" customFormat="1" ht="38.25" customHeight="1">
      <c r="A301" s="48" t="s">
        <v>319</v>
      </c>
      <c r="B301" s="10"/>
      <c r="C301" s="10"/>
      <c r="D301" s="10">
        <v>5</v>
      </c>
      <c r="E301" s="10"/>
      <c r="F301" s="48" t="s">
        <v>514</v>
      </c>
      <c r="G301" s="10"/>
      <c r="H301" s="11"/>
      <c r="I301" s="77"/>
      <c r="J301" s="18">
        <f t="shared" si="1"/>
        <v>0</v>
      </c>
      <c r="L301" s="20"/>
    </row>
    <row r="302" spans="1:12" s="5" customFormat="1" ht="26.25" customHeight="1">
      <c r="A302" s="307" t="s">
        <v>521</v>
      </c>
      <c r="B302" s="10"/>
      <c r="C302" s="10"/>
      <c r="D302" s="10">
        <v>6</v>
      </c>
      <c r="E302" s="10">
        <v>2</v>
      </c>
      <c r="F302" s="10" t="s">
        <v>320</v>
      </c>
      <c r="G302" s="10"/>
      <c r="H302" s="11" t="s">
        <v>407</v>
      </c>
      <c r="I302" s="77">
        <v>11620.28</v>
      </c>
      <c r="J302" s="18">
        <f t="shared" si="1"/>
        <v>1162028</v>
      </c>
      <c r="L302" s="20"/>
    </row>
    <row r="303" spans="1:12" s="5" customFormat="1" ht="26.25" customHeight="1">
      <c r="A303" s="307" t="s">
        <v>522</v>
      </c>
      <c r="B303" s="10"/>
      <c r="C303" s="10"/>
      <c r="D303" s="10">
        <v>8</v>
      </c>
      <c r="E303" s="10">
        <v>2</v>
      </c>
      <c r="F303" s="10" t="s">
        <v>321</v>
      </c>
      <c r="G303" s="10"/>
      <c r="H303" s="11"/>
      <c r="I303" s="77">
        <v>330</v>
      </c>
      <c r="J303" s="18">
        <f>I303*50</f>
        <v>16500</v>
      </c>
      <c r="L303" s="20"/>
    </row>
    <row r="304" spans="1:12" s="5" customFormat="1" ht="24" customHeight="1">
      <c r="A304" s="307" t="s">
        <v>522</v>
      </c>
      <c r="B304" s="10"/>
      <c r="C304" s="10"/>
      <c r="D304" s="10">
        <v>10</v>
      </c>
      <c r="E304" s="10">
        <v>2</v>
      </c>
      <c r="F304" s="10" t="s">
        <v>321</v>
      </c>
      <c r="G304" s="10"/>
      <c r="H304" s="11"/>
      <c r="I304" s="77">
        <v>330</v>
      </c>
      <c r="J304" s="18">
        <f>I304*50</f>
        <v>16500</v>
      </c>
      <c r="L304" s="20"/>
    </row>
    <row r="305" spans="1:12" s="5" customFormat="1" ht="24" customHeight="1">
      <c r="A305" s="307" t="s">
        <v>523</v>
      </c>
      <c r="B305" s="10"/>
      <c r="C305" s="10"/>
      <c r="D305" s="10">
        <v>11</v>
      </c>
      <c r="E305" s="10">
        <v>2</v>
      </c>
      <c r="F305" s="10" t="s">
        <v>320</v>
      </c>
      <c r="G305" s="10" t="s">
        <v>173</v>
      </c>
      <c r="H305" s="11" t="s">
        <v>408</v>
      </c>
      <c r="I305" s="77">
        <v>17662.83</v>
      </c>
      <c r="J305" s="18">
        <f t="shared" si="1"/>
        <v>1766283.0000000002</v>
      </c>
      <c r="L305" s="20"/>
    </row>
    <row r="306" spans="1:12" s="5" customFormat="1" ht="24.75" customHeight="1">
      <c r="A306" s="307" t="s">
        <v>523</v>
      </c>
      <c r="B306" s="10"/>
      <c r="C306" s="10"/>
      <c r="D306" s="10">
        <v>12</v>
      </c>
      <c r="E306" s="10">
        <v>2</v>
      </c>
      <c r="F306" s="10" t="s">
        <v>320</v>
      </c>
      <c r="G306" s="10" t="s">
        <v>173</v>
      </c>
      <c r="H306" s="11" t="s">
        <v>409</v>
      </c>
      <c r="I306" s="77">
        <v>18127.64</v>
      </c>
      <c r="J306" s="18">
        <f t="shared" si="1"/>
        <v>1812764</v>
      </c>
      <c r="K306" s="20"/>
      <c r="L306" s="20"/>
    </row>
    <row r="307" spans="1:12" s="5" customFormat="1" ht="36" customHeight="1">
      <c r="A307" s="307" t="s">
        <v>322</v>
      </c>
      <c r="B307" s="10"/>
      <c r="C307" s="10"/>
      <c r="D307" s="10">
        <v>13</v>
      </c>
      <c r="E307" s="10"/>
      <c r="F307" s="47" t="s">
        <v>410</v>
      </c>
      <c r="G307" s="10"/>
      <c r="H307" s="11"/>
      <c r="I307" s="77"/>
      <c r="J307" s="18">
        <f t="shared" si="1"/>
        <v>0</v>
      </c>
      <c r="L307" s="20"/>
    </row>
    <row r="308" spans="1:12" s="5" customFormat="1" ht="24" customHeight="1">
      <c r="A308" s="652" t="s">
        <v>357</v>
      </c>
      <c r="B308" s="653"/>
      <c r="C308" s="653"/>
      <c r="D308" s="653"/>
      <c r="E308" s="653"/>
      <c r="F308" s="653"/>
      <c r="G308" s="653"/>
      <c r="H308" s="653"/>
      <c r="I308" s="654"/>
      <c r="J308" s="18">
        <f>SUM(J297:J307)</f>
        <v>6377674</v>
      </c>
      <c r="K308" s="20"/>
      <c r="L308" s="20"/>
    </row>
    <row r="309" spans="1:10" ht="23.25" customHeight="1">
      <c r="A309" s="705" t="s">
        <v>185</v>
      </c>
      <c r="B309" s="705"/>
      <c r="C309" s="705"/>
      <c r="D309" s="705"/>
      <c r="E309" s="705"/>
      <c r="F309" s="705"/>
      <c r="G309" s="705"/>
      <c r="H309" s="705"/>
      <c r="I309" s="705"/>
      <c r="J309" s="705"/>
    </row>
    <row r="310" spans="1:10" ht="18.75" customHeight="1">
      <c r="A310" s="670" t="s">
        <v>316</v>
      </c>
      <c r="B310" s="670"/>
      <c r="C310" s="670"/>
      <c r="D310" s="670"/>
      <c r="E310" s="670"/>
      <c r="F310" s="671"/>
      <c r="G310" s="671"/>
      <c r="H310" s="671"/>
      <c r="I310" s="671"/>
      <c r="J310" s="671"/>
    </row>
    <row r="311" ht="9" customHeight="1"/>
    <row r="312" ht="25.5" customHeight="1">
      <c r="A312" s="8" t="s">
        <v>245</v>
      </c>
    </row>
    <row r="313" spans="1:12" s="9" customFormat="1" ht="33" customHeight="1">
      <c r="A313" s="681" t="s">
        <v>97</v>
      </c>
      <c r="B313" s="681" t="s">
        <v>187</v>
      </c>
      <c r="C313" s="668" t="s">
        <v>188</v>
      </c>
      <c r="D313" s="669"/>
      <c r="E313" s="679" t="s">
        <v>189</v>
      </c>
      <c r="F313" s="666" t="s">
        <v>169</v>
      </c>
      <c r="G313" s="681" t="s">
        <v>170</v>
      </c>
      <c r="H313" s="676" t="s">
        <v>171</v>
      </c>
      <c r="I313" s="72" t="s">
        <v>190</v>
      </c>
      <c r="J313" s="658" t="s">
        <v>172</v>
      </c>
      <c r="L313" s="534"/>
    </row>
    <row r="314" spans="1:12" s="5" customFormat="1" ht="29.25" customHeight="1">
      <c r="A314" s="682"/>
      <c r="B314" s="682"/>
      <c r="C314" s="4" t="s">
        <v>191</v>
      </c>
      <c r="D314" s="4" t="s">
        <v>192</v>
      </c>
      <c r="E314" s="680"/>
      <c r="F314" s="667"/>
      <c r="G314" s="682"/>
      <c r="H314" s="677"/>
      <c r="I314" s="70" t="s">
        <v>193</v>
      </c>
      <c r="J314" s="659"/>
      <c r="L314" s="20"/>
    </row>
    <row r="315" spans="1:12" s="5" customFormat="1" ht="34.5" customHeight="1">
      <c r="A315" s="652" t="s">
        <v>357</v>
      </c>
      <c r="B315" s="653"/>
      <c r="C315" s="653"/>
      <c r="D315" s="653"/>
      <c r="E315" s="653"/>
      <c r="F315" s="653"/>
      <c r="G315" s="653"/>
      <c r="H315" s="653"/>
      <c r="I315" s="654"/>
      <c r="J315" s="18">
        <f>J308</f>
        <v>6377674</v>
      </c>
      <c r="L315" s="20"/>
    </row>
    <row r="316" spans="1:12" s="5" customFormat="1" ht="30" customHeight="1">
      <c r="A316" s="48" t="s">
        <v>323</v>
      </c>
      <c r="B316" s="10">
        <v>56</v>
      </c>
      <c r="C316" s="10">
        <v>323</v>
      </c>
      <c r="D316" s="10">
        <v>15</v>
      </c>
      <c r="E316" s="10"/>
      <c r="F316" s="10" t="s">
        <v>318</v>
      </c>
      <c r="G316" s="10"/>
      <c r="H316" s="11"/>
      <c r="I316" s="77"/>
      <c r="J316" s="18">
        <f t="shared" si="1"/>
        <v>0</v>
      </c>
      <c r="K316" s="20"/>
      <c r="L316" s="20"/>
    </row>
    <row r="317" spans="1:12" s="5" customFormat="1" ht="30" customHeight="1">
      <c r="A317" s="48" t="s">
        <v>323</v>
      </c>
      <c r="B317" s="10"/>
      <c r="C317" s="10"/>
      <c r="D317" s="10">
        <v>16</v>
      </c>
      <c r="E317" s="10"/>
      <c r="F317" s="10" t="s">
        <v>318</v>
      </c>
      <c r="G317" s="10"/>
      <c r="H317" s="11"/>
      <c r="I317" s="77"/>
      <c r="J317" s="18">
        <f t="shared" si="1"/>
        <v>0</v>
      </c>
      <c r="K317" s="20"/>
      <c r="L317" s="20"/>
    </row>
    <row r="318" spans="1:12" s="5" customFormat="1" ht="30" customHeight="1">
      <c r="A318" s="48" t="s">
        <v>323</v>
      </c>
      <c r="B318" s="10"/>
      <c r="C318" s="10"/>
      <c r="D318" s="10">
        <v>17</v>
      </c>
      <c r="E318" s="10"/>
      <c r="F318" s="10" t="s">
        <v>318</v>
      </c>
      <c r="G318" s="10"/>
      <c r="H318" s="11"/>
      <c r="I318" s="77"/>
      <c r="J318" s="18">
        <f t="shared" si="1"/>
        <v>0</v>
      </c>
      <c r="L318" s="20"/>
    </row>
    <row r="319" spans="1:12" s="5" customFormat="1" ht="30" customHeight="1">
      <c r="A319" s="48" t="s">
        <v>324</v>
      </c>
      <c r="B319" s="10"/>
      <c r="C319" s="10"/>
      <c r="D319" s="10">
        <v>18</v>
      </c>
      <c r="E319" s="10"/>
      <c r="F319" s="10">
        <v>0</v>
      </c>
      <c r="G319" s="10"/>
      <c r="H319" s="11"/>
      <c r="I319" s="77"/>
      <c r="J319" s="18">
        <f t="shared" si="1"/>
        <v>0</v>
      </c>
      <c r="K319" s="20"/>
      <c r="L319" s="20"/>
    </row>
    <row r="320" spans="1:12" s="5" customFormat="1" ht="24.75" customHeight="1">
      <c r="A320" s="745" t="s">
        <v>290</v>
      </c>
      <c r="B320" s="745"/>
      <c r="C320" s="745"/>
      <c r="D320" s="745"/>
      <c r="E320" s="745"/>
      <c r="F320" s="745"/>
      <c r="G320" s="745"/>
      <c r="H320" s="745"/>
      <c r="I320" s="745"/>
      <c r="J320" s="31">
        <f>SUM(J315:J319)</f>
        <v>6377674</v>
      </c>
      <c r="K320" s="20"/>
      <c r="L320" s="20"/>
    </row>
    <row r="321" spans="1:12" s="5" customFormat="1" ht="9.75" customHeight="1">
      <c r="A321" s="53"/>
      <c r="B321" s="53"/>
      <c r="C321" s="53"/>
      <c r="D321" s="53"/>
      <c r="E321" s="53"/>
      <c r="F321" s="53"/>
      <c r="G321" s="53"/>
      <c r="H321" s="53"/>
      <c r="I321" s="53"/>
      <c r="J321" s="39"/>
      <c r="L321" s="20"/>
    </row>
    <row r="322" spans="1:12" s="46" customFormat="1" ht="23.25" customHeight="1">
      <c r="A322" s="692" t="s">
        <v>483</v>
      </c>
      <c r="B322" s="693"/>
      <c r="C322" s="693"/>
      <c r="D322" s="693"/>
      <c r="E322" s="693"/>
      <c r="F322" s="693"/>
      <c r="G322" s="693"/>
      <c r="H322" s="693"/>
      <c r="I322" s="694"/>
      <c r="J322" s="31">
        <v>4428994.95</v>
      </c>
      <c r="K322" s="401">
        <f>3582423.5+814011.89+20240</f>
        <v>4416675.39</v>
      </c>
      <c r="L322" s="401"/>
    </row>
    <row r="323" spans="1:12" s="5" customFormat="1" ht="24.75" customHeight="1">
      <c r="A323" s="717" t="s">
        <v>242</v>
      </c>
      <c r="B323" s="718"/>
      <c r="C323" s="718"/>
      <c r="D323" s="718"/>
      <c r="E323" s="719"/>
      <c r="F323" s="691"/>
      <c r="G323" s="691"/>
      <c r="H323" s="691"/>
      <c r="I323" s="691"/>
      <c r="J323" s="31">
        <f>J320+J322</f>
        <v>10806668.95</v>
      </c>
      <c r="K323" s="20">
        <f>3582423.5+846571.45</f>
        <v>4428994.95</v>
      </c>
      <c r="L323" s="20"/>
    </row>
    <row r="324" spans="1:12" s="5" customFormat="1" ht="53.25" customHeight="1">
      <c r="A324" s="735" t="s">
        <v>592</v>
      </c>
      <c r="B324" s="735"/>
      <c r="C324" s="735"/>
      <c r="D324" s="735"/>
      <c r="E324" s="735"/>
      <c r="F324" s="735"/>
      <c r="G324" s="735"/>
      <c r="H324" s="735"/>
      <c r="I324" s="735"/>
      <c r="J324" s="735"/>
      <c r="K324" s="20">
        <f>J322-K323</f>
        <v>0</v>
      </c>
      <c r="L324" s="20"/>
    </row>
    <row r="325" spans="1:11" ht="36" customHeight="1" thickBot="1">
      <c r="A325" s="869"/>
      <c r="B325" s="869"/>
      <c r="C325" s="869"/>
      <c r="D325" s="869"/>
      <c r="E325" s="869"/>
      <c r="F325" s="869"/>
      <c r="G325" s="869"/>
      <c r="H325" s="869"/>
      <c r="I325" s="869"/>
      <c r="J325" s="869"/>
      <c r="K325">
        <f>834251.89+3582423.5</f>
        <v>4416675.39</v>
      </c>
    </row>
    <row r="326" spans="1:14" ht="48" customHeight="1" thickBot="1" thickTop="1">
      <c r="A326" s="655" t="s">
        <v>251</v>
      </c>
      <c r="B326" s="656"/>
      <c r="C326" s="656"/>
      <c r="D326" s="656"/>
      <c r="E326" s="656"/>
      <c r="F326" s="656"/>
      <c r="G326" s="656"/>
      <c r="H326" s="656"/>
      <c r="I326" s="656"/>
      <c r="J326" s="657"/>
      <c r="K326">
        <f>K325+12319.56</f>
        <v>4428994.949999999</v>
      </c>
      <c r="N326">
        <f>3582423.5+846571.45</f>
        <v>4428994.95</v>
      </c>
    </row>
    <row r="327" spans="1:10" ht="27.75" customHeight="1" thickTop="1">
      <c r="A327" s="705" t="s">
        <v>249</v>
      </c>
      <c r="B327" s="705"/>
      <c r="C327" s="705"/>
      <c r="D327" s="705"/>
      <c r="E327" s="705"/>
      <c r="F327" s="731"/>
      <c r="G327" s="731"/>
      <c r="H327" s="731"/>
      <c r="I327" s="731"/>
      <c r="J327" s="731"/>
    </row>
    <row r="328" spans="1:12" s="5" customFormat="1" ht="16.5" customHeight="1">
      <c r="A328" s="46" t="s">
        <v>122</v>
      </c>
      <c r="I328" s="40"/>
      <c r="L328" s="20"/>
    </row>
    <row r="329" spans="9:12" s="5" customFormat="1" ht="16.5" customHeight="1">
      <c r="I329" s="40"/>
      <c r="L329" s="20"/>
    </row>
    <row r="330" spans="9:12" s="5" customFormat="1" ht="22.5" customHeight="1">
      <c r="I330" s="40"/>
      <c r="L330" s="20"/>
    </row>
    <row r="331" spans="1:12" s="5" customFormat="1" ht="28.5" customHeight="1">
      <c r="A331" s="46" t="s">
        <v>53</v>
      </c>
      <c r="I331" s="40"/>
      <c r="L331" s="20"/>
    </row>
    <row r="332" spans="1:12" s="5" customFormat="1" ht="27" customHeight="1">
      <c r="A332" s="709" t="s">
        <v>552</v>
      </c>
      <c r="B332" s="709"/>
      <c r="C332" s="709"/>
      <c r="D332" s="709"/>
      <c r="E332" s="709"/>
      <c r="F332" s="709"/>
      <c r="G332" s="709"/>
      <c r="H332" s="709"/>
      <c r="I332" s="709"/>
      <c r="L332" s="20"/>
    </row>
    <row r="333" spans="1:12" s="3" customFormat="1" ht="27" customHeight="1">
      <c r="A333" s="58"/>
      <c r="I333" s="166"/>
      <c r="L333" s="14"/>
    </row>
    <row r="334" spans="1:12" s="9" customFormat="1" ht="33" customHeight="1">
      <c r="A334" s="703" t="s">
        <v>97</v>
      </c>
      <c r="B334" s="703" t="s">
        <v>187</v>
      </c>
      <c r="C334" s="703" t="s">
        <v>188</v>
      </c>
      <c r="D334" s="703"/>
      <c r="E334" s="704" t="s">
        <v>189</v>
      </c>
      <c r="F334" s="703" t="s">
        <v>169</v>
      </c>
      <c r="G334" s="703" t="s">
        <v>170</v>
      </c>
      <c r="H334" s="730" t="s">
        <v>171</v>
      </c>
      <c r="I334" s="72" t="s">
        <v>190</v>
      </c>
      <c r="J334" s="732" t="s">
        <v>172</v>
      </c>
      <c r="L334" s="534"/>
    </row>
    <row r="335" spans="1:12" s="5" customFormat="1" ht="24.75" customHeight="1">
      <c r="A335" s="703"/>
      <c r="B335" s="703"/>
      <c r="C335" s="4" t="s">
        <v>191</v>
      </c>
      <c r="D335" s="4" t="s">
        <v>192</v>
      </c>
      <c r="E335" s="704"/>
      <c r="F335" s="703"/>
      <c r="G335" s="703"/>
      <c r="H335" s="730"/>
      <c r="I335" s="70" t="s">
        <v>193</v>
      </c>
      <c r="J335" s="732"/>
      <c r="L335" s="20"/>
    </row>
    <row r="336" spans="1:12" s="5" customFormat="1" ht="96" customHeight="1">
      <c r="A336" s="110" t="s">
        <v>104</v>
      </c>
      <c r="B336" s="109">
        <v>11</v>
      </c>
      <c r="C336" s="110" t="s">
        <v>554</v>
      </c>
      <c r="D336" s="109"/>
      <c r="E336" s="109"/>
      <c r="F336" s="109" t="s">
        <v>234</v>
      </c>
      <c r="G336" s="109" t="s">
        <v>173</v>
      </c>
      <c r="H336" s="111" t="s">
        <v>4</v>
      </c>
      <c r="I336" s="137">
        <v>5794.67</v>
      </c>
      <c r="J336" s="629">
        <f>I336*100</f>
        <v>579467</v>
      </c>
      <c r="L336" s="20"/>
    </row>
    <row r="337" spans="1:12" s="5" customFormat="1" ht="39" customHeight="1">
      <c r="A337" s="864" t="s">
        <v>276</v>
      </c>
      <c r="B337" s="865"/>
      <c r="C337" s="865"/>
      <c r="D337" s="865"/>
      <c r="E337" s="865"/>
      <c r="F337" s="865"/>
      <c r="G337" s="865"/>
      <c r="H337" s="865"/>
      <c r="I337" s="866"/>
      <c r="J337" s="116">
        <v>356696.68</v>
      </c>
      <c r="L337" s="20"/>
    </row>
    <row r="338" spans="1:10" ht="24" customHeight="1">
      <c r="A338" s="861" t="s">
        <v>274</v>
      </c>
      <c r="B338" s="862"/>
      <c r="C338" s="862"/>
      <c r="D338" s="862"/>
      <c r="E338" s="862"/>
      <c r="F338" s="862"/>
      <c r="G338" s="862"/>
      <c r="H338" s="862"/>
      <c r="I338" s="863"/>
      <c r="J338" s="553">
        <f>J336+J337</f>
        <v>936163.6799999999</v>
      </c>
    </row>
    <row r="339" spans="1:12" s="5" customFormat="1" ht="45" customHeight="1">
      <c r="A339" s="697"/>
      <c r="B339" s="697"/>
      <c r="C339" s="697"/>
      <c r="D339" s="697"/>
      <c r="E339" s="697"/>
      <c r="F339" s="697"/>
      <c r="G339" s="697"/>
      <c r="H339" s="697"/>
      <c r="I339" s="697"/>
      <c r="J339" s="697"/>
      <c r="L339" s="20"/>
    </row>
    <row r="340" spans="1:12" s="5" customFormat="1" ht="12.75" customHeight="1">
      <c r="A340" s="46"/>
      <c r="I340" s="40"/>
      <c r="L340" s="20"/>
    </row>
    <row r="341" spans="9:12" s="5" customFormat="1" ht="18.75" customHeight="1" thickBot="1">
      <c r="I341" s="40"/>
      <c r="L341" s="20"/>
    </row>
    <row r="342" spans="1:10" ht="48" customHeight="1" thickBot="1" thickTop="1">
      <c r="A342" s="655" t="s">
        <v>257</v>
      </c>
      <c r="B342" s="656"/>
      <c r="C342" s="656"/>
      <c r="D342" s="656"/>
      <c r="E342" s="656"/>
      <c r="F342" s="656"/>
      <c r="G342" s="656"/>
      <c r="H342" s="656"/>
      <c r="I342" s="656"/>
      <c r="J342" s="657"/>
    </row>
    <row r="343" spans="1:12" s="34" customFormat="1" ht="21.75" customHeight="1" thickTop="1">
      <c r="A343" s="705" t="s">
        <v>249</v>
      </c>
      <c r="B343" s="705"/>
      <c r="C343" s="705"/>
      <c r="D343" s="705"/>
      <c r="E343" s="705"/>
      <c r="F343" s="705"/>
      <c r="G343" s="705"/>
      <c r="H343" s="705"/>
      <c r="I343" s="705"/>
      <c r="J343" s="705"/>
      <c r="L343" s="402"/>
    </row>
    <row r="344" spans="1:12" s="3" customFormat="1" ht="15.75">
      <c r="A344" s="734" t="s">
        <v>164</v>
      </c>
      <c r="B344" s="734"/>
      <c r="C344" s="734"/>
      <c r="D344" s="734"/>
      <c r="E344" s="734"/>
      <c r="F344" s="734"/>
      <c r="G344" s="734"/>
      <c r="H344" s="734"/>
      <c r="I344" s="734"/>
      <c r="J344" s="734"/>
      <c r="L344" s="14"/>
    </row>
    <row r="345" spans="1:12" s="3" customFormat="1" ht="15.75">
      <c r="A345" s="734" t="s">
        <v>524</v>
      </c>
      <c r="B345" s="734"/>
      <c r="C345" s="734"/>
      <c r="D345" s="734"/>
      <c r="E345" s="734"/>
      <c r="F345" s="734"/>
      <c r="G345" s="734"/>
      <c r="H345" s="734"/>
      <c r="I345" s="734"/>
      <c r="J345" s="734"/>
      <c r="L345" s="14"/>
    </row>
    <row r="346" spans="1:12" s="3" customFormat="1" ht="18" customHeight="1">
      <c r="A346" s="734" t="s">
        <v>10</v>
      </c>
      <c r="B346" s="734"/>
      <c r="C346" s="734"/>
      <c r="D346" s="734"/>
      <c r="E346" s="734"/>
      <c r="F346" s="734"/>
      <c r="G346" s="734"/>
      <c r="H346" s="734"/>
      <c r="I346" s="734"/>
      <c r="J346" s="734"/>
      <c r="L346" s="14"/>
    </row>
    <row r="347" spans="1:12" s="3" customFormat="1" ht="25.5" customHeight="1">
      <c r="A347" s="93"/>
      <c r="B347" s="93"/>
      <c r="C347" s="93"/>
      <c r="D347" s="93"/>
      <c r="E347" s="93"/>
      <c r="F347" s="93"/>
      <c r="G347" s="93"/>
      <c r="H347" s="93"/>
      <c r="I347" s="93"/>
      <c r="J347" s="93"/>
      <c r="L347" s="14"/>
    </row>
    <row r="348" spans="1:12" s="9" customFormat="1" ht="27" customHeight="1">
      <c r="A348" s="703" t="s">
        <v>97</v>
      </c>
      <c r="B348" s="703" t="s">
        <v>187</v>
      </c>
      <c r="C348" s="703" t="s">
        <v>188</v>
      </c>
      <c r="D348" s="703"/>
      <c r="E348" s="704" t="s">
        <v>189</v>
      </c>
      <c r="F348" s="703" t="s">
        <v>169</v>
      </c>
      <c r="G348" s="703" t="s">
        <v>170</v>
      </c>
      <c r="H348" s="730" t="s">
        <v>171</v>
      </c>
      <c r="I348" s="72" t="s">
        <v>190</v>
      </c>
      <c r="J348" s="732" t="s">
        <v>172</v>
      </c>
      <c r="L348" s="534"/>
    </row>
    <row r="349" spans="1:12" s="5" customFormat="1" ht="18.75" customHeight="1">
      <c r="A349" s="703"/>
      <c r="B349" s="703"/>
      <c r="C349" s="4" t="s">
        <v>191</v>
      </c>
      <c r="D349" s="4" t="s">
        <v>192</v>
      </c>
      <c r="E349" s="704"/>
      <c r="F349" s="703"/>
      <c r="G349" s="703"/>
      <c r="H349" s="730"/>
      <c r="I349" s="70" t="s">
        <v>193</v>
      </c>
      <c r="J349" s="732"/>
      <c r="L349" s="20"/>
    </row>
    <row r="350" spans="1:12" s="5" customFormat="1" ht="18.75" customHeight="1">
      <c r="A350" s="27"/>
      <c r="B350" s="703">
        <v>37</v>
      </c>
      <c r="C350" s="4">
        <v>1225</v>
      </c>
      <c r="D350" s="4">
        <v>1</v>
      </c>
      <c r="E350" s="32"/>
      <c r="F350" s="27" t="s">
        <v>234</v>
      </c>
      <c r="G350" s="27" t="s">
        <v>173</v>
      </c>
      <c r="H350" s="378" t="s">
        <v>420</v>
      </c>
      <c r="I350" s="77">
        <v>6322.69</v>
      </c>
      <c r="J350" s="377">
        <f>I350*100</f>
        <v>632269</v>
      </c>
      <c r="L350" s="20"/>
    </row>
    <row r="351" spans="1:12" s="3" customFormat="1" ht="135" customHeight="1" thickBot="1">
      <c r="A351" s="275" t="s">
        <v>105</v>
      </c>
      <c r="B351" s="703"/>
      <c r="C351" s="48" t="s">
        <v>419</v>
      </c>
      <c r="D351" s="4"/>
      <c r="E351" s="4"/>
      <c r="F351" s="4"/>
      <c r="G351" s="4"/>
      <c r="H351" s="29"/>
      <c r="I351" s="276"/>
      <c r="J351" s="247"/>
      <c r="K351" s="14"/>
      <c r="L351" s="14"/>
    </row>
    <row r="352" spans="1:12" s="46" customFormat="1" ht="34.5" customHeight="1">
      <c r="A352" s="711" t="s">
        <v>155</v>
      </c>
      <c r="B352" s="712"/>
      <c r="C352" s="712"/>
      <c r="D352" s="712"/>
      <c r="E352" s="712"/>
      <c r="F352" s="712"/>
      <c r="G352" s="712"/>
      <c r="H352" s="712"/>
      <c r="I352" s="712"/>
      <c r="J352" s="278">
        <v>677816.24</v>
      </c>
      <c r="K352" s="401"/>
      <c r="L352" s="401"/>
    </row>
    <row r="353" spans="1:12" s="3" customFormat="1" ht="34.5" customHeight="1" thickBot="1">
      <c r="A353" s="830" t="s">
        <v>242</v>
      </c>
      <c r="B353" s="831"/>
      <c r="C353" s="831"/>
      <c r="D353" s="831"/>
      <c r="E353" s="831"/>
      <c r="F353" s="831"/>
      <c r="G353" s="831"/>
      <c r="H353" s="831"/>
      <c r="I353" s="831"/>
      <c r="J353" s="554">
        <f>SUM(J350:J352)</f>
        <v>1310085.24</v>
      </c>
      <c r="K353" s="496"/>
      <c r="L353" s="14"/>
    </row>
    <row r="354" spans="1:12" s="3" customFormat="1" ht="34.5" customHeight="1" thickBot="1">
      <c r="A354" s="721" t="s">
        <v>563</v>
      </c>
      <c r="B354" s="721"/>
      <c r="C354" s="721"/>
      <c r="D354" s="721"/>
      <c r="E354" s="721"/>
      <c r="F354" s="721"/>
      <c r="G354" s="721"/>
      <c r="H354" s="721"/>
      <c r="I354" s="721"/>
      <c r="J354" s="721"/>
      <c r="L354" s="14"/>
    </row>
    <row r="355" spans="1:10" ht="54.75" customHeight="1" thickBot="1">
      <c r="A355" s="767" t="s">
        <v>295</v>
      </c>
      <c r="B355" s="768"/>
      <c r="C355" s="768"/>
      <c r="D355" s="768"/>
      <c r="E355" s="768"/>
      <c r="F355" s="768"/>
      <c r="G355" s="768"/>
      <c r="H355" s="768"/>
      <c r="I355" s="768"/>
      <c r="J355" s="769"/>
    </row>
    <row r="356" spans="1:16" ht="48" customHeight="1" thickBot="1" thickTop="1">
      <c r="A356" s="655" t="s">
        <v>296</v>
      </c>
      <c r="B356" s="656"/>
      <c r="C356" s="656"/>
      <c r="D356" s="656"/>
      <c r="E356" s="656"/>
      <c r="F356" s="656"/>
      <c r="G356" s="656"/>
      <c r="H356" s="656"/>
      <c r="I356" s="656"/>
      <c r="J356" s="657"/>
      <c r="P356" t="s">
        <v>459</v>
      </c>
    </row>
    <row r="357" spans="1:10" ht="27" thickTop="1">
      <c r="A357" s="705" t="s">
        <v>247</v>
      </c>
      <c r="B357" s="705"/>
      <c r="C357" s="705"/>
      <c r="D357" s="705"/>
      <c r="E357" s="705"/>
      <c r="F357" s="731"/>
      <c r="G357" s="731"/>
      <c r="H357" s="731"/>
      <c r="I357" s="731"/>
      <c r="J357" s="731"/>
    </row>
    <row r="358" spans="1:12" s="5" customFormat="1" ht="18.75" customHeight="1">
      <c r="A358" s="678" t="s">
        <v>122</v>
      </c>
      <c r="B358" s="678"/>
      <c r="C358" s="678"/>
      <c r="D358" s="678"/>
      <c r="E358" s="678"/>
      <c r="F358" s="729"/>
      <c r="G358" s="729"/>
      <c r="H358" s="729"/>
      <c r="I358" s="40"/>
      <c r="L358" s="20"/>
    </row>
    <row r="359" spans="1:12" s="5" customFormat="1" ht="18.75" customHeight="1">
      <c r="A359" s="709" t="s">
        <v>311</v>
      </c>
      <c r="B359" s="709"/>
      <c r="C359" s="709"/>
      <c r="D359" s="709"/>
      <c r="E359" s="709"/>
      <c r="F359" s="709"/>
      <c r="G359" s="709"/>
      <c r="I359" s="40"/>
      <c r="L359" s="20"/>
    </row>
    <row r="360" spans="1:12" s="5" customFormat="1" ht="18.75" customHeight="1">
      <c r="A360" s="678" t="s">
        <v>312</v>
      </c>
      <c r="B360" s="678"/>
      <c r="C360" s="678"/>
      <c r="D360" s="678"/>
      <c r="E360" s="678"/>
      <c r="F360" s="678"/>
      <c r="G360" s="678"/>
      <c r="I360" s="40"/>
      <c r="L360" s="20"/>
    </row>
    <row r="361" spans="9:12" s="5" customFormat="1" ht="15">
      <c r="I361" s="40"/>
      <c r="L361" s="20"/>
    </row>
    <row r="362" spans="1:12" s="9" customFormat="1" ht="28.5" customHeight="1">
      <c r="A362" s="681" t="s">
        <v>97</v>
      </c>
      <c r="B362" s="681" t="s">
        <v>187</v>
      </c>
      <c r="C362" s="668" t="s">
        <v>188</v>
      </c>
      <c r="D362" s="669"/>
      <c r="E362" s="679" t="s">
        <v>216</v>
      </c>
      <c r="F362" s="681" t="s">
        <v>213</v>
      </c>
      <c r="G362" s="681" t="s">
        <v>170</v>
      </c>
      <c r="H362" s="715" t="s">
        <v>214</v>
      </c>
      <c r="I362" s="713" t="s">
        <v>215</v>
      </c>
      <c r="J362" s="658" t="s">
        <v>172</v>
      </c>
      <c r="L362" s="534"/>
    </row>
    <row r="363" spans="1:12" s="5" customFormat="1" ht="19.5" customHeight="1">
      <c r="A363" s="682"/>
      <c r="B363" s="682"/>
      <c r="C363" s="36" t="s">
        <v>191</v>
      </c>
      <c r="D363" s="36" t="s">
        <v>192</v>
      </c>
      <c r="E363" s="680"/>
      <c r="F363" s="682"/>
      <c r="G363" s="682"/>
      <c r="H363" s="716"/>
      <c r="I363" s="714"/>
      <c r="J363" s="659"/>
      <c r="L363" s="20"/>
    </row>
    <row r="364" spans="1:12" s="3" customFormat="1" ht="29.25" customHeight="1">
      <c r="A364" s="577" t="s">
        <v>497</v>
      </c>
      <c r="B364" s="165">
        <v>69</v>
      </c>
      <c r="C364" s="10">
        <v>335</v>
      </c>
      <c r="D364" s="4"/>
      <c r="E364" s="11" t="s">
        <v>458</v>
      </c>
      <c r="F364" s="4" t="s">
        <v>219</v>
      </c>
      <c r="G364" s="10">
        <v>3</v>
      </c>
      <c r="H364" s="18">
        <v>4.18</v>
      </c>
      <c r="I364" s="77">
        <v>3.95</v>
      </c>
      <c r="J364" s="18">
        <f>H364*75</f>
        <v>313.5</v>
      </c>
      <c r="L364" s="14"/>
    </row>
    <row r="365" spans="1:12" s="46" customFormat="1" ht="15" customHeight="1">
      <c r="A365" s="717" t="s">
        <v>194</v>
      </c>
      <c r="B365" s="718"/>
      <c r="C365" s="718"/>
      <c r="D365" s="718"/>
      <c r="E365" s="718"/>
      <c r="F365" s="718"/>
      <c r="G365" s="718"/>
      <c r="H365" s="718"/>
      <c r="I365" s="719"/>
      <c r="J365" s="31">
        <f>SUM(J364:J364)</f>
        <v>313.5</v>
      </c>
      <c r="L365" s="401"/>
    </row>
    <row r="366" spans="1:12" s="3" customFormat="1" ht="15">
      <c r="A366" s="728"/>
      <c r="B366" s="728"/>
      <c r="C366" s="728"/>
      <c r="D366" s="728"/>
      <c r="E366" s="728"/>
      <c r="F366" s="729"/>
      <c r="G366" s="729"/>
      <c r="H366" s="729"/>
      <c r="I366" s="729"/>
      <c r="J366" s="729"/>
      <c r="L366" s="14"/>
    </row>
    <row r="367" spans="1:12" s="34" customFormat="1" ht="12.75">
      <c r="A367" s="33"/>
      <c r="B367" s="33"/>
      <c r="C367" s="33"/>
      <c r="E367" s="45"/>
      <c r="F367" s="33"/>
      <c r="G367" s="33"/>
      <c r="H367" s="35"/>
      <c r="I367" s="75"/>
      <c r="L367" s="402"/>
    </row>
    <row r="368" spans="1:12" s="3" customFormat="1" ht="29.25" customHeight="1">
      <c r="A368" s="342"/>
      <c r="B368" s="12"/>
      <c r="C368" s="12"/>
      <c r="E368" s="53"/>
      <c r="G368" s="12"/>
      <c r="H368" s="14"/>
      <c r="I368" s="134"/>
      <c r="J368" s="409"/>
      <c r="L368" s="14"/>
    </row>
    <row r="369" spans="1:12" s="34" customFormat="1" ht="26.25">
      <c r="A369" s="705" t="s">
        <v>249</v>
      </c>
      <c r="B369" s="705"/>
      <c r="C369" s="705"/>
      <c r="D369" s="705"/>
      <c r="E369" s="705"/>
      <c r="F369" s="705"/>
      <c r="G369" s="705"/>
      <c r="H369" s="705"/>
      <c r="I369" s="705"/>
      <c r="J369" s="705"/>
      <c r="L369" s="402"/>
    </row>
    <row r="370" spans="1:12" s="5" customFormat="1" ht="15.75">
      <c r="A370" s="678" t="s">
        <v>457</v>
      </c>
      <c r="B370" s="678"/>
      <c r="C370" s="678"/>
      <c r="D370" s="678"/>
      <c r="E370" s="678"/>
      <c r="F370" s="678"/>
      <c r="G370" s="678"/>
      <c r="H370" s="678"/>
      <c r="I370" s="678"/>
      <c r="J370" s="678"/>
      <c r="L370" s="20"/>
    </row>
    <row r="371" spans="1:12" s="5" customFormat="1" ht="15.75">
      <c r="A371" s="678" t="s">
        <v>313</v>
      </c>
      <c r="B371" s="678"/>
      <c r="C371" s="678"/>
      <c r="D371" s="678"/>
      <c r="E371" s="678"/>
      <c r="F371" s="678"/>
      <c r="G371" s="678"/>
      <c r="H371" s="678"/>
      <c r="I371" s="678"/>
      <c r="J371" s="678"/>
      <c r="L371" s="400">
        <f>J378-30774.76</f>
        <v>446.08000000000175</v>
      </c>
    </row>
    <row r="372" spans="1:12" s="5" customFormat="1" ht="15.75">
      <c r="A372" s="678" t="s">
        <v>314</v>
      </c>
      <c r="B372" s="678"/>
      <c r="C372" s="678"/>
      <c r="D372" s="678"/>
      <c r="E372" s="678"/>
      <c r="F372" s="678"/>
      <c r="G372" s="678"/>
      <c r="H372" s="678"/>
      <c r="I372" s="678"/>
      <c r="J372" s="678"/>
      <c r="L372" s="20"/>
    </row>
    <row r="373" spans="9:12" s="5" customFormat="1" ht="7.5" customHeight="1">
      <c r="I373" s="40"/>
      <c r="L373" s="20"/>
    </row>
    <row r="374" spans="1:12" s="9" customFormat="1" ht="18" customHeight="1">
      <c r="A374" s="681" t="s">
        <v>97</v>
      </c>
      <c r="B374" s="681" t="s">
        <v>187</v>
      </c>
      <c r="C374" s="668" t="s">
        <v>188</v>
      </c>
      <c r="D374" s="669"/>
      <c r="E374" s="679" t="s">
        <v>189</v>
      </c>
      <c r="F374" s="681" t="s">
        <v>169</v>
      </c>
      <c r="G374" s="681" t="s">
        <v>170</v>
      </c>
      <c r="H374" s="676" t="s">
        <v>171</v>
      </c>
      <c r="I374" s="72" t="s">
        <v>190</v>
      </c>
      <c r="J374" s="658" t="s">
        <v>172</v>
      </c>
      <c r="L374" s="635">
        <f>L379+L371+8</f>
        <v>154723.49999999994</v>
      </c>
    </row>
    <row r="375" spans="1:12" s="5" customFormat="1" ht="18" customHeight="1">
      <c r="A375" s="682"/>
      <c r="B375" s="682"/>
      <c r="C375" s="4" t="s">
        <v>191</v>
      </c>
      <c r="D375" s="4" t="s">
        <v>192</v>
      </c>
      <c r="E375" s="680"/>
      <c r="F375" s="682"/>
      <c r="G375" s="682"/>
      <c r="H375" s="677"/>
      <c r="I375" s="70" t="s">
        <v>193</v>
      </c>
      <c r="J375" s="659"/>
      <c r="L375" s="20"/>
    </row>
    <row r="376" spans="1:12" s="5" customFormat="1" ht="45" customHeight="1">
      <c r="A376" s="704" t="s">
        <v>106</v>
      </c>
      <c r="B376" s="703">
        <v>69</v>
      </c>
      <c r="C376" s="679">
        <v>606</v>
      </c>
      <c r="D376" s="4">
        <v>7</v>
      </c>
      <c r="E376" s="579"/>
      <c r="F376" s="27" t="s">
        <v>232</v>
      </c>
      <c r="G376" s="27">
        <v>2</v>
      </c>
      <c r="H376" s="365" t="s">
        <v>498</v>
      </c>
      <c r="I376" s="578">
        <v>178110.78</v>
      </c>
      <c r="J376" s="588">
        <f>I376*100</f>
        <v>17811078</v>
      </c>
      <c r="K376" s="400"/>
      <c r="L376" s="20"/>
    </row>
    <row r="377" spans="1:12" s="5" customFormat="1" ht="15">
      <c r="A377" s="704"/>
      <c r="B377" s="703"/>
      <c r="C377" s="758"/>
      <c r="D377" s="4">
        <v>5</v>
      </c>
      <c r="E377" s="4"/>
      <c r="F377" s="27" t="s">
        <v>23</v>
      </c>
      <c r="G377" s="27">
        <v>1</v>
      </c>
      <c r="H377" s="365" t="s">
        <v>436</v>
      </c>
      <c r="I377" s="578">
        <v>1084.56</v>
      </c>
      <c r="J377" s="588">
        <f>I377*50</f>
        <v>54228</v>
      </c>
      <c r="L377" s="20">
        <f>5090327.35+2548316.41</f>
        <v>7638643.76</v>
      </c>
    </row>
    <row r="378" spans="1:12" s="5" customFormat="1" ht="15">
      <c r="A378" s="704"/>
      <c r="B378" s="703"/>
      <c r="C378" s="680"/>
      <c r="D378" s="4">
        <v>8</v>
      </c>
      <c r="E378" s="4"/>
      <c r="F378" s="27" t="s">
        <v>238</v>
      </c>
      <c r="G378" s="27">
        <v>4</v>
      </c>
      <c r="H378" s="365" t="s">
        <v>574</v>
      </c>
      <c r="I378" s="578">
        <v>918.26</v>
      </c>
      <c r="J378" s="588">
        <f>I378*34</f>
        <v>31220.84</v>
      </c>
      <c r="K378" s="20"/>
      <c r="L378" s="400">
        <f>5244596.77+2548316.41</f>
        <v>7792913.18</v>
      </c>
    </row>
    <row r="379" spans="1:12" s="5" customFormat="1" ht="19.5" customHeight="1">
      <c r="A379" s="662" t="s">
        <v>454</v>
      </c>
      <c r="B379" s="663"/>
      <c r="C379" s="663"/>
      <c r="D379" s="663"/>
      <c r="E379" s="663"/>
      <c r="F379" s="663"/>
      <c r="G379" s="663"/>
      <c r="H379" s="663"/>
      <c r="I379" s="664"/>
      <c r="J379" s="122">
        <v>108000</v>
      </c>
      <c r="K379" s="400"/>
      <c r="L379" s="400">
        <f>L378-L377</f>
        <v>154269.41999999993</v>
      </c>
    </row>
    <row r="380" spans="1:12" s="5" customFormat="1" ht="20.25" customHeight="1">
      <c r="A380" s="725" t="s">
        <v>455</v>
      </c>
      <c r="B380" s="726"/>
      <c r="C380" s="726"/>
      <c r="D380" s="726"/>
      <c r="E380" s="726"/>
      <c r="F380" s="726"/>
      <c r="G380" s="726"/>
      <c r="H380" s="726"/>
      <c r="I380" s="727"/>
      <c r="J380" s="122">
        <v>7821492.07</v>
      </c>
      <c r="K380" s="400"/>
      <c r="L380" s="400">
        <f>J381-25642716.52</f>
        <v>183302.3900000006</v>
      </c>
    </row>
    <row r="381" spans="1:12" s="5" customFormat="1" ht="24" customHeight="1">
      <c r="A381" s="691" t="s">
        <v>242</v>
      </c>
      <c r="B381" s="691"/>
      <c r="C381" s="691"/>
      <c r="D381" s="691"/>
      <c r="E381" s="691"/>
      <c r="F381" s="691"/>
      <c r="G381" s="691"/>
      <c r="H381" s="691"/>
      <c r="I381" s="691"/>
      <c r="J381" s="117">
        <f>SUM(J376:J380)</f>
        <v>25826018.91</v>
      </c>
      <c r="K381" s="400">
        <f>J381-25642716.52</f>
        <v>183302.3900000006</v>
      </c>
      <c r="L381" s="400"/>
    </row>
    <row r="382" spans="1:12" s="58" customFormat="1" ht="15.75">
      <c r="A382" s="870" t="s">
        <v>456</v>
      </c>
      <c r="B382" s="871"/>
      <c r="C382" s="871"/>
      <c r="D382" s="871"/>
      <c r="E382" s="871"/>
      <c r="F382" s="871"/>
      <c r="G382" s="871"/>
      <c r="H382" s="871"/>
      <c r="I382" s="871"/>
      <c r="J382" s="872"/>
      <c r="K382" s="39"/>
      <c r="L382" s="630"/>
    </row>
    <row r="383" s="672" customFormat="1" ht="9.75" customHeight="1"/>
    <row r="384" spans="1:14" s="59" customFormat="1" ht="81.75" customHeight="1">
      <c r="A384" s="673" t="s">
        <v>562</v>
      </c>
      <c r="B384" s="673"/>
      <c r="C384" s="673"/>
      <c r="D384" s="673"/>
      <c r="E384" s="673"/>
      <c r="F384" s="674"/>
      <c r="G384" s="674"/>
      <c r="H384" s="674"/>
      <c r="I384" s="674"/>
      <c r="J384" s="674"/>
      <c r="K384" s="371"/>
      <c r="L384" s="371">
        <f>5090327.35+2548316.41</f>
        <v>7638643.76</v>
      </c>
      <c r="N384" s="371">
        <f>L385-L384</f>
        <v>154269.41999999993</v>
      </c>
    </row>
    <row r="385" spans="1:12" s="3" customFormat="1" ht="55.5" customHeight="1">
      <c r="A385" s="797" t="s">
        <v>633</v>
      </c>
      <c r="B385" s="832"/>
      <c r="C385" s="832"/>
      <c r="D385" s="832"/>
      <c r="E385" s="832"/>
      <c r="F385" s="832"/>
      <c r="G385" s="832"/>
      <c r="H385" s="832"/>
      <c r="I385" s="832"/>
      <c r="J385" s="832"/>
      <c r="K385" s="14"/>
      <c r="L385" s="14">
        <f>5244596.77+2548316.41</f>
        <v>7792913.18</v>
      </c>
    </row>
    <row r="386" spans="1:14" s="3" customFormat="1" ht="41.25" customHeight="1">
      <c r="A386" s="675" t="s">
        <v>569</v>
      </c>
      <c r="B386" s="675"/>
      <c r="C386" s="675"/>
      <c r="D386" s="675"/>
      <c r="E386" s="675"/>
      <c r="F386" s="675"/>
      <c r="G386" s="675"/>
      <c r="H386" s="675"/>
      <c r="I386" s="675"/>
      <c r="J386" s="675"/>
      <c r="K386" s="14"/>
      <c r="L386" s="14"/>
      <c r="N386" s="645">
        <f>N384+28578.89</f>
        <v>182848.30999999994</v>
      </c>
    </row>
    <row r="387" spans="1:12" s="34" customFormat="1" ht="49.5" customHeight="1">
      <c r="A387" s="705" t="s">
        <v>249</v>
      </c>
      <c r="B387" s="705"/>
      <c r="C387" s="705"/>
      <c r="D387" s="705"/>
      <c r="E387" s="705"/>
      <c r="F387" s="705"/>
      <c r="G387" s="705"/>
      <c r="H387" s="705"/>
      <c r="I387" s="705"/>
      <c r="J387" s="705"/>
      <c r="K387" s="402"/>
      <c r="L387" s="402"/>
    </row>
    <row r="388" spans="1:12" s="5" customFormat="1" ht="30" customHeight="1">
      <c r="A388" s="678" t="s">
        <v>122</v>
      </c>
      <c r="B388" s="678"/>
      <c r="C388" s="678"/>
      <c r="D388" s="678"/>
      <c r="E388" s="678"/>
      <c r="F388" s="678"/>
      <c r="G388" s="678"/>
      <c r="H388" s="678"/>
      <c r="I388" s="678"/>
      <c r="J388" s="678"/>
      <c r="L388" s="20"/>
    </row>
    <row r="389" spans="1:12" s="5" customFormat="1" ht="30" customHeight="1">
      <c r="A389" s="678" t="s">
        <v>525</v>
      </c>
      <c r="B389" s="678"/>
      <c r="C389" s="678"/>
      <c r="D389" s="678"/>
      <c r="E389" s="678"/>
      <c r="F389" s="678"/>
      <c r="G389" s="678"/>
      <c r="H389" s="678"/>
      <c r="I389" s="678"/>
      <c r="J389" s="678"/>
      <c r="L389" s="20"/>
    </row>
    <row r="390" spans="1:12" s="5" customFormat="1" ht="30" customHeight="1">
      <c r="A390" s="678" t="s">
        <v>0</v>
      </c>
      <c r="B390" s="678"/>
      <c r="C390" s="678"/>
      <c r="D390" s="678"/>
      <c r="E390" s="678"/>
      <c r="F390" s="678"/>
      <c r="G390" s="678"/>
      <c r="H390" s="678"/>
      <c r="I390" s="678"/>
      <c r="J390" s="678"/>
      <c r="L390" s="20">
        <f>5273175.66+2548316.41</f>
        <v>7821492.07</v>
      </c>
    </row>
    <row r="391" spans="9:12" s="5" customFormat="1" ht="30" customHeight="1">
      <c r="I391" s="40"/>
      <c r="L391" s="20"/>
    </row>
    <row r="392" spans="1:12" s="9" customFormat="1" ht="33" customHeight="1">
      <c r="A392" s="681" t="s">
        <v>97</v>
      </c>
      <c r="B392" s="681" t="s">
        <v>187</v>
      </c>
      <c r="C392" s="668" t="s">
        <v>188</v>
      </c>
      <c r="D392" s="669"/>
      <c r="E392" s="679" t="s">
        <v>189</v>
      </c>
      <c r="F392" s="681" t="s">
        <v>169</v>
      </c>
      <c r="G392" s="681" t="s">
        <v>170</v>
      </c>
      <c r="H392" s="676" t="s">
        <v>171</v>
      </c>
      <c r="I392" s="72" t="s">
        <v>190</v>
      </c>
      <c r="J392" s="658" t="s">
        <v>172</v>
      </c>
      <c r="L392" s="534"/>
    </row>
    <row r="393" spans="1:12" s="5" customFormat="1" ht="24.75" customHeight="1">
      <c r="A393" s="682"/>
      <c r="B393" s="682"/>
      <c r="C393" s="4" t="s">
        <v>191</v>
      </c>
      <c r="D393" s="4" t="s">
        <v>192</v>
      </c>
      <c r="E393" s="680"/>
      <c r="F393" s="682"/>
      <c r="G393" s="682"/>
      <c r="H393" s="677"/>
      <c r="I393" s="70" t="s">
        <v>193</v>
      </c>
      <c r="J393" s="659"/>
      <c r="L393" s="20"/>
    </row>
    <row r="394" spans="1:12" s="5" customFormat="1" ht="60">
      <c r="A394" s="167" t="s">
        <v>123</v>
      </c>
      <c r="B394" s="269">
        <v>66</v>
      </c>
      <c r="C394" s="269">
        <v>145</v>
      </c>
      <c r="D394" s="403"/>
      <c r="E394" s="403"/>
      <c r="F394" s="269" t="s">
        <v>232</v>
      </c>
      <c r="G394" s="269">
        <v>2</v>
      </c>
      <c r="H394" s="404" t="s">
        <v>297</v>
      </c>
      <c r="I394" s="405">
        <f>5838000/1936.27</f>
        <v>3015.075376884422</v>
      </c>
      <c r="J394" s="406">
        <f>I394*100</f>
        <v>301507.5376884422</v>
      </c>
      <c r="L394" s="20"/>
    </row>
    <row r="395" spans="1:12" s="46" customFormat="1" ht="34.5" customHeight="1">
      <c r="A395" s="692" t="s">
        <v>155</v>
      </c>
      <c r="B395" s="693"/>
      <c r="C395" s="693"/>
      <c r="D395" s="693"/>
      <c r="E395" s="693"/>
      <c r="F395" s="693"/>
      <c r="G395" s="693"/>
      <c r="H395" s="693"/>
      <c r="I395" s="694"/>
      <c r="J395" s="31">
        <v>134324.9</v>
      </c>
      <c r="L395" s="401"/>
    </row>
    <row r="396" spans="1:12" s="5" customFormat="1" ht="24.75" customHeight="1">
      <c r="A396" s="717" t="s">
        <v>242</v>
      </c>
      <c r="B396" s="718"/>
      <c r="C396" s="718"/>
      <c r="D396" s="718"/>
      <c r="E396" s="719"/>
      <c r="F396" s="691"/>
      <c r="G396" s="691"/>
      <c r="H396" s="691"/>
      <c r="I396" s="691"/>
      <c r="J396" s="31">
        <f>SUM(J394:J395)</f>
        <v>435832.4376884422</v>
      </c>
      <c r="K396" s="400">
        <f>J396-344058.34</f>
        <v>91774.09768844215</v>
      </c>
      <c r="L396" s="20"/>
    </row>
    <row r="397" spans="1:12" s="5" customFormat="1" ht="41.25" customHeight="1">
      <c r="A397" s="733" t="s">
        <v>561</v>
      </c>
      <c r="B397" s="733"/>
      <c r="C397" s="733"/>
      <c r="D397" s="733"/>
      <c r="E397" s="733"/>
      <c r="F397" s="733"/>
      <c r="G397" s="733"/>
      <c r="H397" s="733"/>
      <c r="I397" s="733"/>
      <c r="J397" s="733"/>
      <c r="L397" s="20"/>
    </row>
    <row r="398" spans="1:12" s="34" customFormat="1" ht="12.75">
      <c r="A398" s="720"/>
      <c r="B398" s="720"/>
      <c r="C398" s="720"/>
      <c r="D398" s="720"/>
      <c r="E398" s="720"/>
      <c r="F398" s="720"/>
      <c r="G398" s="720"/>
      <c r="H398" s="720"/>
      <c r="I398" s="720"/>
      <c r="J398" s="720"/>
      <c r="L398" s="402"/>
    </row>
    <row r="399" spans="1:12" s="34" customFormat="1" ht="12.75">
      <c r="A399" s="33"/>
      <c r="B399" s="33"/>
      <c r="C399" s="33"/>
      <c r="E399" s="45"/>
      <c r="F399" s="33"/>
      <c r="G399" s="33"/>
      <c r="I399" s="78"/>
      <c r="L399" s="402"/>
    </row>
    <row r="400" spans="1:10" ht="49.5" customHeight="1">
      <c r="A400" s="710" t="s">
        <v>249</v>
      </c>
      <c r="B400" s="710"/>
      <c r="C400" s="710"/>
      <c r="D400" s="710"/>
      <c r="E400" s="710"/>
      <c r="F400" s="710"/>
      <c r="G400" s="710"/>
      <c r="H400" s="710"/>
      <c r="I400" s="710"/>
      <c r="J400" s="710"/>
    </row>
    <row r="401" spans="1:10" ht="30" customHeight="1">
      <c r="A401" s="678" t="s">
        <v>457</v>
      </c>
      <c r="B401" s="678"/>
      <c r="C401" s="678"/>
      <c r="D401" s="678"/>
      <c r="E401" s="678"/>
      <c r="F401" s="678"/>
      <c r="G401" s="678"/>
      <c r="H401" s="678"/>
      <c r="I401" s="678"/>
      <c r="J401" s="678"/>
    </row>
    <row r="402" spans="1:10" ht="30" customHeight="1">
      <c r="A402" s="678" t="s">
        <v>1</v>
      </c>
      <c r="B402" s="678"/>
      <c r="C402" s="678"/>
      <c r="D402" s="678"/>
      <c r="E402" s="678"/>
      <c r="F402" s="678"/>
      <c r="G402" s="678"/>
      <c r="H402" s="678"/>
      <c r="I402" s="678"/>
      <c r="J402" s="678"/>
    </row>
    <row r="403" spans="1:10" ht="30" customHeight="1">
      <c r="A403" s="678" t="s">
        <v>55</v>
      </c>
      <c r="B403" s="678"/>
      <c r="C403" s="678"/>
      <c r="D403" s="678"/>
      <c r="E403" s="678"/>
      <c r="F403" s="678"/>
      <c r="G403" s="678"/>
      <c r="H403" s="678"/>
      <c r="I403" s="678"/>
      <c r="J403" s="678"/>
    </row>
    <row r="404" spans="1:10" ht="30" customHeight="1">
      <c r="A404" s="5"/>
      <c r="B404" s="5"/>
      <c r="C404" s="5"/>
      <c r="D404" s="5"/>
      <c r="E404" s="5"/>
      <c r="F404" s="5"/>
      <c r="G404" s="5"/>
      <c r="H404" s="5"/>
      <c r="I404" s="40"/>
      <c r="J404" s="5"/>
    </row>
    <row r="405" spans="1:12" s="9" customFormat="1" ht="33" customHeight="1">
      <c r="A405" s="681" t="s">
        <v>97</v>
      </c>
      <c r="B405" s="681" t="s">
        <v>187</v>
      </c>
      <c r="C405" s="668" t="s">
        <v>188</v>
      </c>
      <c r="D405" s="669"/>
      <c r="E405" s="679" t="s">
        <v>189</v>
      </c>
      <c r="F405" s="681" t="s">
        <v>169</v>
      </c>
      <c r="G405" s="681" t="s">
        <v>170</v>
      </c>
      <c r="H405" s="676" t="s">
        <v>171</v>
      </c>
      <c r="I405" s="72" t="s">
        <v>190</v>
      </c>
      <c r="J405" s="658" t="s">
        <v>172</v>
      </c>
      <c r="L405" s="534"/>
    </row>
    <row r="406" spans="1:12" s="5" customFormat="1" ht="24.75" customHeight="1">
      <c r="A406" s="682"/>
      <c r="B406" s="682"/>
      <c r="C406" s="4" t="s">
        <v>191</v>
      </c>
      <c r="D406" s="4" t="s">
        <v>192</v>
      </c>
      <c r="E406" s="680"/>
      <c r="F406" s="682"/>
      <c r="G406" s="682"/>
      <c r="H406" s="677"/>
      <c r="I406" s="70" t="s">
        <v>193</v>
      </c>
      <c r="J406" s="659"/>
      <c r="L406" s="20"/>
    </row>
    <row r="407" spans="1:10" ht="40.5" customHeight="1" thickBot="1">
      <c r="A407" s="110" t="s">
        <v>124</v>
      </c>
      <c r="B407" s="269">
        <v>74</v>
      </c>
      <c r="C407" s="269">
        <v>271</v>
      </c>
      <c r="D407" s="269"/>
      <c r="E407" s="269"/>
      <c r="F407" s="269" t="s">
        <v>234</v>
      </c>
      <c r="G407" s="269" t="s">
        <v>173</v>
      </c>
      <c r="H407" s="404" t="s">
        <v>287</v>
      </c>
      <c r="I407" s="407">
        <v>10114.32</v>
      </c>
      <c r="J407" s="406">
        <f>I407*100</f>
        <v>1011432</v>
      </c>
    </row>
    <row r="408" spans="1:12" s="46" customFormat="1" ht="34.5" customHeight="1">
      <c r="A408" s="711" t="s">
        <v>155</v>
      </c>
      <c r="B408" s="712"/>
      <c r="C408" s="712"/>
      <c r="D408" s="712"/>
      <c r="E408" s="712"/>
      <c r="F408" s="712"/>
      <c r="G408" s="712"/>
      <c r="H408" s="712"/>
      <c r="I408" s="712"/>
      <c r="J408" s="278">
        <v>17632.8</v>
      </c>
      <c r="L408" s="401"/>
    </row>
    <row r="409" spans="1:12" s="3" customFormat="1" ht="34.5" customHeight="1" thickBot="1">
      <c r="A409" s="830" t="s">
        <v>242</v>
      </c>
      <c r="B409" s="831"/>
      <c r="C409" s="831"/>
      <c r="D409" s="831"/>
      <c r="E409" s="831"/>
      <c r="F409" s="831"/>
      <c r="G409" s="831"/>
      <c r="H409" s="831"/>
      <c r="I409" s="831"/>
      <c r="J409" s="554">
        <f>SUM(J407:J408)</f>
        <v>1029064.8</v>
      </c>
      <c r="L409" s="14"/>
    </row>
    <row r="410" spans="1:12" s="3" customFormat="1" ht="34.5" customHeight="1">
      <c r="A410" s="721" t="s">
        <v>560</v>
      </c>
      <c r="B410" s="721"/>
      <c r="C410" s="721"/>
      <c r="D410" s="721"/>
      <c r="E410" s="721"/>
      <c r="F410" s="721"/>
      <c r="G410" s="721"/>
      <c r="H410" s="721"/>
      <c r="I410" s="721"/>
      <c r="J410" s="721"/>
      <c r="L410" s="14"/>
    </row>
    <row r="411" spans="9:12" s="34" customFormat="1" ht="12.75">
      <c r="I411" s="78"/>
      <c r="L411" s="402"/>
    </row>
    <row r="412" spans="1:10" ht="49.5" customHeight="1">
      <c r="A412" s="710" t="s">
        <v>249</v>
      </c>
      <c r="B412" s="710"/>
      <c r="C412" s="710"/>
      <c r="D412" s="710"/>
      <c r="E412" s="710"/>
      <c r="F412" s="710"/>
      <c r="G412" s="710"/>
      <c r="H412" s="710"/>
      <c r="I412" s="710"/>
      <c r="J412" s="710"/>
    </row>
    <row r="413" spans="1:12" s="5" customFormat="1" ht="30" customHeight="1">
      <c r="A413" s="678" t="s">
        <v>457</v>
      </c>
      <c r="B413" s="678"/>
      <c r="C413" s="678"/>
      <c r="D413" s="678"/>
      <c r="E413" s="678"/>
      <c r="F413" s="678"/>
      <c r="G413" s="678"/>
      <c r="H413" s="678"/>
      <c r="I413" s="678"/>
      <c r="J413" s="678"/>
      <c r="L413" s="20"/>
    </row>
    <row r="414" spans="1:12" s="5" customFormat="1" ht="30" customHeight="1">
      <c r="A414" s="678" t="s">
        <v>313</v>
      </c>
      <c r="B414" s="678"/>
      <c r="C414" s="678"/>
      <c r="D414" s="678"/>
      <c r="E414" s="678"/>
      <c r="F414" s="678"/>
      <c r="G414" s="678"/>
      <c r="H414" s="678"/>
      <c r="I414" s="678"/>
      <c r="J414" s="678"/>
      <c r="L414" s="20"/>
    </row>
    <row r="415" spans="1:12" s="5" customFormat="1" ht="30" customHeight="1">
      <c r="A415" s="678" t="s">
        <v>54</v>
      </c>
      <c r="B415" s="678"/>
      <c r="C415" s="678"/>
      <c r="D415" s="678"/>
      <c r="E415" s="678"/>
      <c r="F415" s="678"/>
      <c r="G415" s="678"/>
      <c r="H415" s="678"/>
      <c r="I415" s="678"/>
      <c r="J415" s="678"/>
      <c r="L415" s="20"/>
    </row>
    <row r="416" spans="9:12" s="5" customFormat="1" ht="30" customHeight="1">
      <c r="I416" s="40"/>
      <c r="L416" s="20"/>
    </row>
    <row r="417" spans="1:12" s="9" customFormat="1" ht="33" customHeight="1">
      <c r="A417" s="681" t="s">
        <v>97</v>
      </c>
      <c r="B417" s="681" t="s">
        <v>187</v>
      </c>
      <c r="C417" s="668" t="s">
        <v>188</v>
      </c>
      <c r="D417" s="669"/>
      <c r="E417" s="679" t="s">
        <v>189</v>
      </c>
      <c r="F417" s="681" t="s">
        <v>169</v>
      </c>
      <c r="G417" s="681" t="s">
        <v>170</v>
      </c>
      <c r="H417" s="676" t="s">
        <v>171</v>
      </c>
      <c r="I417" s="72" t="s">
        <v>190</v>
      </c>
      <c r="J417" s="658" t="s">
        <v>172</v>
      </c>
      <c r="L417" s="534"/>
    </row>
    <row r="418" spans="1:12" s="5" customFormat="1" ht="24.75" customHeight="1">
      <c r="A418" s="682"/>
      <c r="B418" s="682"/>
      <c r="C418" s="4" t="s">
        <v>191</v>
      </c>
      <c r="D418" s="4" t="s">
        <v>192</v>
      </c>
      <c r="E418" s="680"/>
      <c r="F418" s="682"/>
      <c r="G418" s="682"/>
      <c r="H418" s="677"/>
      <c r="I418" s="70" t="s">
        <v>193</v>
      </c>
      <c r="J418" s="659"/>
      <c r="L418" s="20"/>
    </row>
    <row r="419" spans="1:12" s="5" customFormat="1" ht="57" customHeight="1" thickBot="1">
      <c r="A419" s="110" t="s">
        <v>106</v>
      </c>
      <c r="B419" s="269">
        <v>69</v>
      </c>
      <c r="C419" s="269">
        <v>606</v>
      </c>
      <c r="D419" s="403"/>
      <c r="E419" s="403"/>
      <c r="F419" s="269" t="s">
        <v>234</v>
      </c>
      <c r="G419" s="269" t="s">
        <v>173</v>
      </c>
      <c r="H419" s="404" t="s">
        <v>298</v>
      </c>
      <c r="I419" s="405" t="s">
        <v>453</v>
      </c>
      <c r="J419" s="406">
        <v>584672</v>
      </c>
      <c r="L419" s="20"/>
    </row>
    <row r="420" spans="1:12" s="3" customFormat="1" ht="34.5" customHeight="1" thickBot="1">
      <c r="A420" s="722" t="s">
        <v>242</v>
      </c>
      <c r="B420" s="723"/>
      <c r="C420" s="723"/>
      <c r="D420" s="723"/>
      <c r="E420" s="723"/>
      <c r="F420" s="723"/>
      <c r="G420" s="723"/>
      <c r="H420" s="723"/>
      <c r="I420" s="724"/>
      <c r="J420" s="408">
        <v>584672</v>
      </c>
      <c r="L420" s="14"/>
    </row>
    <row r="421" spans="1:12" s="34" customFormat="1" ht="13.5" thickBot="1">
      <c r="A421"/>
      <c r="B421"/>
      <c r="C421"/>
      <c r="D421"/>
      <c r="E421"/>
      <c r="F421" s="22"/>
      <c r="G421"/>
      <c r="H421" s="25"/>
      <c r="I421" s="68"/>
      <c r="J421" s="16"/>
      <c r="L421" s="402"/>
    </row>
    <row r="422" spans="1:10" ht="48" customHeight="1" thickBot="1" thickTop="1">
      <c r="A422" s="655" t="s">
        <v>300</v>
      </c>
      <c r="B422" s="656"/>
      <c r="C422" s="656"/>
      <c r="D422" s="656"/>
      <c r="E422" s="656"/>
      <c r="F422" s="656"/>
      <c r="G422" s="656"/>
      <c r="H422" s="656"/>
      <c r="I422" s="656"/>
      <c r="J422" s="657"/>
    </row>
    <row r="423" spans="1:10" ht="27" thickTop="1">
      <c r="A423" s="705" t="s">
        <v>249</v>
      </c>
      <c r="B423" s="705"/>
      <c r="C423" s="705"/>
      <c r="D423" s="705"/>
      <c r="E423" s="705"/>
      <c r="F423" s="705"/>
      <c r="G423" s="705"/>
      <c r="H423" s="705"/>
      <c r="I423" s="705"/>
      <c r="J423" s="705"/>
    </row>
    <row r="424" spans="1:12" s="5" customFormat="1" ht="19.5" customHeight="1">
      <c r="A424" s="709" t="s">
        <v>437</v>
      </c>
      <c r="B424" s="709"/>
      <c r="C424" s="709"/>
      <c r="D424" s="709"/>
      <c r="E424" s="709"/>
      <c r="F424" s="709"/>
      <c r="G424" s="709"/>
      <c r="H424" s="709"/>
      <c r="I424" s="709"/>
      <c r="J424" s="709"/>
      <c r="L424" s="20"/>
    </row>
    <row r="425" spans="1:12" s="5" customFormat="1" ht="19.5" customHeight="1">
      <c r="A425" s="678" t="s">
        <v>526</v>
      </c>
      <c r="B425" s="678"/>
      <c r="C425" s="678"/>
      <c r="D425" s="678"/>
      <c r="E425" s="678"/>
      <c r="F425" s="678"/>
      <c r="G425" s="678"/>
      <c r="H425" s="678"/>
      <c r="I425" s="678"/>
      <c r="J425" s="678"/>
      <c r="L425" s="20"/>
    </row>
    <row r="426" spans="1:12" s="5" customFormat="1" ht="19.5" customHeight="1">
      <c r="A426" s="678" t="s">
        <v>15</v>
      </c>
      <c r="B426" s="678"/>
      <c r="C426" s="678"/>
      <c r="D426" s="678"/>
      <c r="E426" s="678"/>
      <c r="F426" s="678"/>
      <c r="G426" s="678"/>
      <c r="H426" s="678"/>
      <c r="I426" s="678"/>
      <c r="J426" s="678"/>
      <c r="L426" s="20"/>
    </row>
    <row r="427" spans="5:12" s="5" customFormat="1" ht="15">
      <c r="E427" s="51"/>
      <c r="I427" s="40"/>
      <c r="L427" s="20"/>
    </row>
    <row r="428" spans="1:12" s="9" customFormat="1" ht="33" customHeight="1">
      <c r="A428" s="681" t="s">
        <v>97</v>
      </c>
      <c r="B428" s="681" t="s">
        <v>187</v>
      </c>
      <c r="C428" s="668" t="s">
        <v>188</v>
      </c>
      <c r="D428" s="669"/>
      <c r="E428" s="679" t="s">
        <v>189</v>
      </c>
      <c r="F428" s="681" t="s">
        <v>169</v>
      </c>
      <c r="G428" s="681" t="s">
        <v>170</v>
      </c>
      <c r="H428" s="676" t="s">
        <v>171</v>
      </c>
      <c r="I428" s="72" t="s">
        <v>190</v>
      </c>
      <c r="J428" s="658" t="s">
        <v>172</v>
      </c>
      <c r="L428" s="534"/>
    </row>
    <row r="429" spans="1:12" s="5" customFormat="1" ht="24.75" customHeight="1">
      <c r="A429" s="682"/>
      <c r="B429" s="682"/>
      <c r="C429" s="4" t="s">
        <v>191</v>
      </c>
      <c r="D429" s="4" t="s">
        <v>192</v>
      </c>
      <c r="E429" s="680"/>
      <c r="F429" s="682"/>
      <c r="G429" s="682"/>
      <c r="H429" s="677"/>
      <c r="I429" s="70" t="s">
        <v>193</v>
      </c>
      <c r="J429" s="659"/>
      <c r="L429" s="20"/>
    </row>
    <row r="430" spans="1:12" s="5" customFormat="1" ht="15.75" thickBot="1">
      <c r="A430" s="36" t="s">
        <v>125</v>
      </c>
      <c r="B430" s="109">
        <v>15</v>
      </c>
      <c r="C430" s="274">
        <v>810</v>
      </c>
      <c r="D430" s="36"/>
      <c r="E430" s="36"/>
      <c r="F430" s="109" t="s">
        <v>234</v>
      </c>
      <c r="G430" s="36" t="s">
        <v>173</v>
      </c>
      <c r="H430" s="111" t="s">
        <v>438</v>
      </c>
      <c r="I430" s="137">
        <v>2905.29</v>
      </c>
      <c r="J430" s="279">
        <f>I430*100</f>
        <v>290529</v>
      </c>
      <c r="L430" s="20"/>
    </row>
    <row r="431" spans="1:12" s="3" customFormat="1" ht="34.5" customHeight="1" thickBot="1">
      <c r="A431" s="707" t="s">
        <v>242</v>
      </c>
      <c r="B431" s="708"/>
      <c r="C431" s="708"/>
      <c r="D431" s="708"/>
      <c r="E431" s="708"/>
      <c r="F431" s="708"/>
      <c r="G431" s="708"/>
      <c r="H431" s="708"/>
      <c r="I431" s="708"/>
      <c r="J431" s="284">
        <f>SUM(J429:J430)</f>
        <v>290529</v>
      </c>
      <c r="L431" s="14"/>
    </row>
    <row r="432" spans="9:12" s="5" customFormat="1" ht="15">
      <c r="I432" s="40"/>
      <c r="L432" s="20"/>
    </row>
    <row r="433" spans="1:12" s="5" customFormat="1" ht="30.75" customHeight="1">
      <c r="A433" s="672"/>
      <c r="B433" s="672"/>
      <c r="C433" s="672"/>
      <c r="D433" s="672"/>
      <c r="E433" s="672"/>
      <c r="F433" s="672"/>
      <c r="G433" s="672"/>
      <c r="H433" s="672"/>
      <c r="I433" s="672"/>
      <c r="J433" s="672"/>
      <c r="L433" s="20"/>
    </row>
    <row r="434" spans="1:12" s="5" customFormat="1" ht="15.75">
      <c r="A434" s="678"/>
      <c r="B434" s="678"/>
      <c r="C434" s="678"/>
      <c r="D434" s="678"/>
      <c r="E434" s="678"/>
      <c r="F434" s="678"/>
      <c r="G434" s="678"/>
      <c r="H434" s="678"/>
      <c r="I434" s="678"/>
      <c r="J434" s="678"/>
      <c r="L434" s="20"/>
    </row>
    <row r="435" ht="13.5" thickBot="1"/>
    <row r="436" spans="1:10" ht="90" customHeight="1" thickBot="1" thickTop="1">
      <c r="A436" s="683" t="s">
        <v>165</v>
      </c>
      <c r="B436" s="684"/>
      <c r="C436" s="684"/>
      <c r="D436" s="684"/>
      <c r="E436" s="684"/>
      <c r="F436" s="684"/>
      <c r="G436" s="684"/>
      <c r="H436" s="684"/>
      <c r="I436" s="684"/>
      <c r="J436" s="685"/>
    </row>
    <row r="437" spans="1:10" ht="27" thickTop="1">
      <c r="A437" s="710" t="s">
        <v>249</v>
      </c>
      <c r="B437" s="710"/>
      <c r="C437" s="710"/>
      <c r="D437" s="710"/>
      <c r="E437" s="710"/>
      <c r="F437" s="710"/>
      <c r="G437" s="710"/>
      <c r="H437" s="710"/>
      <c r="I437" s="710"/>
      <c r="J437" s="710"/>
    </row>
    <row r="438" spans="1:12" s="5" customFormat="1" ht="19.5" customHeight="1">
      <c r="A438" s="678" t="s">
        <v>261</v>
      </c>
      <c r="B438" s="678"/>
      <c r="C438" s="678"/>
      <c r="D438" s="678"/>
      <c r="E438" s="678"/>
      <c r="F438" s="678"/>
      <c r="G438" s="678"/>
      <c r="H438" s="678"/>
      <c r="I438" s="678"/>
      <c r="J438" s="678"/>
      <c r="L438" s="20"/>
    </row>
    <row r="439" spans="1:12" s="5" customFormat="1" ht="19.5" customHeight="1">
      <c r="A439" s="44"/>
      <c r="B439" s="44"/>
      <c r="C439" s="706" t="s">
        <v>301</v>
      </c>
      <c r="D439" s="706"/>
      <c r="E439" s="706"/>
      <c r="F439" s="706"/>
      <c r="G439" s="706"/>
      <c r="H439" s="706"/>
      <c r="I439" s="706"/>
      <c r="J439" s="706"/>
      <c r="L439" s="20"/>
    </row>
    <row r="440" spans="1:12" s="5" customFormat="1" ht="19.5" customHeight="1">
      <c r="A440" s="44"/>
      <c r="B440" s="44"/>
      <c r="C440" s="706" t="s">
        <v>302</v>
      </c>
      <c r="D440" s="706"/>
      <c r="E440" s="706"/>
      <c r="F440" s="706"/>
      <c r="G440" s="706"/>
      <c r="H440" s="706"/>
      <c r="I440" s="706"/>
      <c r="J440" s="97"/>
      <c r="L440" s="20"/>
    </row>
    <row r="441" spans="1:12" s="5" customFormat="1" ht="19.5" customHeight="1">
      <c r="A441" s="44"/>
      <c r="B441" s="44"/>
      <c r="C441" s="97" t="s">
        <v>303</v>
      </c>
      <c r="D441" s="44"/>
      <c r="E441" s="44"/>
      <c r="F441" s="44"/>
      <c r="G441" s="44"/>
      <c r="H441" s="44"/>
      <c r="I441" s="44"/>
      <c r="J441" s="44"/>
      <c r="L441" s="20"/>
    </row>
    <row r="442" spans="1:12" s="5" customFormat="1" ht="19.5" customHeight="1">
      <c r="A442" s="44"/>
      <c r="B442" s="44"/>
      <c r="C442" s="97" t="s">
        <v>304</v>
      </c>
      <c r="D442" s="44"/>
      <c r="E442" s="44"/>
      <c r="F442" s="44"/>
      <c r="G442" s="44"/>
      <c r="H442" s="44"/>
      <c r="I442" s="44"/>
      <c r="J442" s="44"/>
      <c r="L442" s="20"/>
    </row>
    <row r="443" spans="1:12" s="5" customFormat="1" ht="19.5" customHeight="1">
      <c r="A443" s="44"/>
      <c r="B443" s="44"/>
      <c r="C443" s="97" t="s">
        <v>305</v>
      </c>
      <c r="D443" s="44"/>
      <c r="E443" s="44"/>
      <c r="F443" s="44"/>
      <c r="G443" s="44"/>
      <c r="H443" s="44"/>
      <c r="I443" s="44"/>
      <c r="J443" s="44"/>
      <c r="L443" s="20"/>
    </row>
    <row r="444" spans="1:12" s="5" customFormat="1" ht="19.5" customHeight="1">
      <c r="A444" s="44"/>
      <c r="B444" s="44"/>
      <c r="C444" s="97" t="s">
        <v>306</v>
      </c>
      <c r="D444" s="44"/>
      <c r="E444" s="44"/>
      <c r="F444" s="44"/>
      <c r="G444" s="44"/>
      <c r="H444" s="44"/>
      <c r="I444" s="44"/>
      <c r="J444" s="44"/>
      <c r="L444" s="20"/>
    </row>
    <row r="445" spans="1:12" s="5" customFormat="1" ht="28.5" customHeight="1">
      <c r="A445" s="678" t="s">
        <v>527</v>
      </c>
      <c r="B445" s="678"/>
      <c r="C445" s="678"/>
      <c r="D445" s="678"/>
      <c r="E445" s="678"/>
      <c r="F445" s="678"/>
      <c r="G445" s="678"/>
      <c r="H445" s="678"/>
      <c r="I445" s="678"/>
      <c r="J445" s="678"/>
      <c r="L445" s="20"/>
    </row>
    <row r="446" spans="1:12" s="5" customFormat="1" ht="30.75" customHeight="1">
      <c r="A446" s="678" t="s">
        <v>16</v>
      </c>
      <c r="B446" s="678"/>
      <c r="C446" s="678"/>
      <c r="D446" s="678"/>
      <c r="E446" s="678"/>
      <c r="F446" s="678"/>
      <c r="G446" s="678"/>
      <c r="H446" s="678"/>
      <c r="I446" s="678"/>
      <c r="J446" s="678"/>
      <c r="L446" s="20"/>
    </row>
    <row r="447" spans="1:12" s="5" customFormat="1" ht="32.25" customHeight="1">
      <c r="A447" s="729"/>
      <c r="B447" s="729"/>
      <c r="C447" s="729"/>
      <c r="D447" s="729"/>
      <c r="E447" s="729"/>
      <c r="F447" s="729"/>
      <c r="G447" s="729"/>
      <c r="H447" s="729"/>
      <c r="I447" s="729"/>
      <c r="J447" s="729"/>
      <c r="L447" s="20"/>
    </row>
    <row r="448" spans="1:12" s="9" customFormat="1" ht="33" customHeight="1">
      <c r="A448" s="703" t="s">
        <v>97</v>
      </c>
      <c r="B448" s="703" t="s">
        <v>187</v>
      </c>
      <c r="C448" s="703" t="s">
        <v>188</v>
      </c>
      <c r="D448" s="703"/>
      <c r="E448" s="704" t="s">
        <v>189</v>
      </c>
      <c r="F448" s="681" t="s">
        <v>169</v>
      </c>
      <c r="G448" s="681" t="s">
        <v>170</v>
      </c>
      <c r="H448" s="676" t="s">
        <v>171</v>
      </c>
      <c r="I448" s="72" t="s">
        <v>190</v>
      </c>
      <c r="J448" s="658" t="s">
        <v>172</v>
      </c>
      <c r="L448" s="534"/>
    </row>
    <row r="449" spans="1:12" s="5" customFormat="1" ht="24.75" customHeight="1">
      <c r="A449" s="703"/>
      <c r="B449" s="703"/>
      <c r="C449" s="4" t="s">
        <v>191</v>
      </c>
      <c r="D449" s="4" t="s">
        <v>192</v>
      </c>
      <c r="E449" s="704"/>
      <c r="F449" s="682"/>
      <c r="G449" s="682"/>
      <c r="H449" s="677"/>
      <c r="I449" s="70" t="s">
        <v>193</v>
      </c>
      <c r="J449" s="659"/>
      <c r="L449" s="20"/>
    </row>
    <row r="450" spans="1:12" s="5" customFormat="1" ht="45.75" thickBot="1">
      <c r="A450" s="110" t="s">
        <v>126</v>
      </c>
      <c r="B450" s="109">
        <v>10</v>
      </c>
      <c r="C450" s="281" t="s">
        <v>307</v>
      </c>
      <c r="D450" s="36"/>
      <c r="E450" s="36"/>
      <c r="F450" s="269" t="s">
        <v>234</v>
      </c>
      <c r="G450" s="269" t="s">
        <v>173</v>
      </c>
      <c r="H450" s="269" t="s">
        <v>288</v>
      </c>
      <c r="I450" s="282">
        <v>7725.09</v>
      </c>
      <c r="J450" s="268">
        <f>I450*100</f>
        <v>772509</v>
      </c>
      <c r="L450" s="20"/>
    </row>
    <row r="451" spans="1:12" s="3" customFormat="1" ht="34.5" customHeight="1" thickBot="1">
      <c r="A451" s="707" t="s">
        <v>242</v>
      </c>
      <c r="B451" s="708"/>
      <c r="C451" s="708"/>
      <c r="D451" s="708"/>
      <c r="E451" s="708"/>
      <c r="F451" s="708"/>
      <c r="G451" s="708"/>
      <c r="H451" s="708"/>
      <c r="I451" s="708"/>
      <c r="J451" s="555">
        <f>SUM(J449:J450)</f>
        <v>772509</v>
      </c>
      <c r="L451" s="14"/>
    </row>
    <row r="452" spans="1:12" s="5" customFormat="1" ht="32.25" customHeight="1">
      <c r="A452" s="672"/>
      <c r="B452" s="672"/>
      <c r="C452" s="672"/>
      <c r="D452" s="672"/>
      <c r="E452" s="672"/>
      <c r="F452" s="672"/>
      <c r="G452" s="672"/>
      <c r="H452" s="672"/>
      <c r="I452" s="672"/>
      <c r="J452" s="672"/>
      <c r="L452" s="20"/>
    </row>
    <row r="453" spans="1:12" s="5" customFormat="1" ht="15.75">
      <c r="A453" s="678"/>
      <c r="B453" s="678"/>
      <c r="C453" s="678"/>
      <c r="D453" s="678"/>
      <c r="E453" s="678"/>
      <c r="F453" s="678"/>
      <c r="G453" s="678"/>
      <c r="H453" s="678"/>
      <c r="I453" s="678"/>
      <c r="J453" s="678"/>
      <c r="L453" s="20"/>
    </row>
    <row r="454" spans="8:12" s="5" customFormat="1" ht="15.75" thickBot="1">
      <c r="H454" s="52"/>
      <c r="I454" s="69"/>
      <c r="J454" s="20"/>
      <c r="L454" s="20"/>
    </row>
    <row r="455" spans="1:10" ht="48" customHeight="1" thickBot="1" thickTop="1">
      <c r="A455" s="655" t="s">
        <v>308</v>
      </c>
      <c r="B455" s="656"/>
      <c r="C455" s="656"/>
      <c r="D455" s="656"/>
      <c r="E455" s="656"/>
      <c r="F455" s="656"/>
      <c r="G455" s="656"/>
      <c r="H455" s="656"/>
      <c r="I455" s="656"/>
      <c r="J455" s="657"/>
    </row>
    <row r="456" spans="1:10" ht="30" customHeight="1" thickTop="1">
      <c r="A456" s="710" t="s">
        <v>249</v>
      </c>
      <c r="B456" s="710"/>
      <c r="C456" s="710"/>
      <c r="D456" s="710"/>
      <c r="E456" s="710"/>
      <c r="F456" s="710"/>
      <c r="G456" s="710"/>
      <c r="H456" s="710"/>
      <c r="I456" s="710"/>
      <c r="J456" s="710"/>
    </row>
    <row r="457" spans="1:12" s="5" customFormat="1" ht="51" customHeight="1">
      <c r="A457" s="774" t="s">
        <v>507</v>
      </c>
      <c r="B457" s="729"/>
      <c r="C457" s="729"/>
      <c r="D457" s="729"/>
      <c r="E457" s="729"/>
      <c r="F457" s="729"/>
      <c r="G457" s="729"/>
      <c r="H457" s="729"/>
      <c r="I457" s="729"/>
      <c r="J457" s="729"/>
      <c r="L457" s="20"/>
    </row>
    <row r="458" spans="1:12" s="5" customFormat="1" ht="23.25" customHeight="1">
      <c r="A458" s="678" t="s">
        <v>528</v>
      </c>
      <c r="B458" s="729"/>
      <c r="C458" s="729"/>
      <c r="D458" s="729"/>
      <c r="E458" s="729"/>
      <c r="F458" s="729"/>
      <c r="G458" s="729"/>
      <c r="H458" s="729"/>
      <c r="I458" s="729"/>
      <c r="J458" s="729"/>
      <c r="L458" s="20"/>
    </row>
    <row r="459" spans="1:12" s="5" customFormat="1" ht="24.75" customHeight="1">
      <c r="A459" s="678" t="s">
        <v>20</v>
      </c>
      <c r="B459" s="729"/>
      <c r="C459" s="729"/>
      <c r="D459" s="729"/>
      <c r="E459" s="729"/>
      <c r="F459" s="729"/>
      <c r="G459" s="729"/>
      <c r="H459" s="729"/>
      <c r="I459" s="729"/>
      <c r="J459" s="729"/>
      <c r="L459" s="20"/>
    </row>
    <row r="460" spans="1:12" s="5" customFormat="1" ht="15">
      <c r="A460" s="44"/>
      <c r="B460" s="44"/>
      <c r="C460" s="44"/>
      <c r="D460" s="44"/>
      <c r="E460" s="44"/>
      <c r="F460" s="44"/>
      <c r="G460" s="44"/>
      <c r="H460" s="44"/>
      <c r="I460" s="60"/>
      <c r="J460" s="44"/>
      <c r="L460" s="20"/>
    </row>
    <row r="461" spans="1:12" s="9" customFormat="1" ht="33" customHeight="1">
      <c r="A461" s="703" t="s">
        <v>97</v>
      </c>
      <c r="B461" s="703" t="s">
        <v>187</v>
      </c>
      <c r="C461" s="703" t="s">
        <v>188</v>
      </c>
      <c r="D461" s="703"/>
      <c r="E461" s="704" t="s">
        <v>189</v>
      </c>
      <c r="F461" s="681" t="s">
        <v>169</v>
      </c>
      <c r="G461" s="681" t="s">
        <v>170</v>
      </c>
      <c r="H461" s="676" t="s">
        <v>171</v>
      </c>
      <c r="I461" s="72" t="s">
        <v>190</v>
      </c>
      <c r="J461" s="658" t="s">
        <v>172</v>
      </c>
      <c r="L461" s="534"/>
    </row>
    <row r="462" spans="1:12" s="5" customFormat="1" ht="24.75" customHeight="1">
      <c r="A462" s="703"/>
      <c r="B462" s="703"/>
      <c r="C462" s="4" t="s">
        <v>191</v>
      </c>
      <c r="D462" s="4" t="s">
        <v>192</v>
      </c>
      <c r="E462" s="704"/>
      <c r="F462" s="682"/>
      <c r="G462" s="682"/>
      <c r="H462" s="677"/>
      <c r="I462" s="70" t="s">
        <v>193</v>
      </c>
      <c r="J462" s="659"/>
      <c r="L462" s="20"/>
    </row>
    <row r="463" spans="1:12" s="5" customFormat="1" ht="30.75" thickBot="1">
      <c r="A463" s="283" t="s">
        <v>127</v>
      </c>
      <c r="B463" s="138">
        <v>16</v>
      </c>
      <c r="C463" s="138">
        <v>710</v>
      </c>
      <c r="D463" s="36"/>
      <c r="E463" s="36"/>
      <c r="F463" s="138" t="s">
        <v>234</v>
      </c>
      <c r="G463" s="36"/>
      <c r="H463" s="280" t="s">
        <v>508</v>
      </c>
      <c r="I463" s="582">
        <v>2516.18</v>
      </c>
      <c r="J463" s="88">
        <f>I463*100</f>
        <v>251617.99999999997</v>
      </c>
      <c r="L463" s="20"/>
    </row>
    <row r="464" spans="1:12" s="3" customFormat="1" ht="34.5" customHeight="1" thickBot="1">
      <c r="A464" s="707" t="s">
        <v>242</v>
      </c>
      <c r="B464" s="708"/>
      <c r="C464" s="708"/>
      <c r="D464" s="708"/>
      <c r="E464" s="708"/>
      <c r="F464" s="708"/>
      <c r="G464" s="708"/>
      <c r="H464" s="708"/>
      <c r="I464" s="708"/>
      <c r="J464" s="556">
        <f>SUM(J462:J463)</f>
        <v>251617.99999999997</v>
      </c>
      <c r="L464" s="14"/>
    </row>
    <row r="465" spans="9:12" s="5" customFormat="1" ht="15">
      <c r="I465" s="40"/>
      <c r="L465" s="20"/>
    </row>
    <row r="466" spans="1:12" s="5" customFormat="1" ht="38.25" customHeight="1">
      <c r="A466" s="773"/>
      <c r="B466" s="773"/>
      <c r="C466" s="773"/>
      <c r="D466" s="773"/>
      <c r="E466" s="773"/>
      <c r="F466" s="773"/>
      <c r="G466" s="773"/>
      <c r="H466" s="773"/>
      <c r="I466" s="773"/>
      <c r="J466" s="773"/>
      <c r="L466" s="20"/>
    </row>
    <row r="467" spans="1:12" s="5" customFormat="1" ht="15.75">
      <c r="A467" s="709"/>
      <c r="B467" s="709"/>
      <c r="C467" s="709"/>
      <c r="D467" s="709"/>
      <c r="E467" s="709"/>
      <c r="F467" s="709"/>
      <c r="G467" s="709"/>
      <c r="H467" s="709"/>
      <c r="I467" s="709"/>
      <c r="J467" s="709"/>
      <c r="L467" s="20"/>
    </row>
    <row r="468" spans="1:10" ht="30.75" customHeight="1">
      <c r="A468" s="705" t="s">
        <v>185</v>
      </c>
      <c r="B468" s="705"/>
      <c r="C468" s="705"/>
      <c r="D468" s="705"/>
      <c r="E468" s="705"/>
      <c r="F468" s="705"/>
      <c r="G468" s="705"/>
      <c r="H468" s="705"/>
      <c r="I468" s="705"/>
      <c r="J468" s="705"/>
    </row>
    <row r="469" spans="1:10" ht="30.75" customHeight="1">
      <c r="A469" s="267"/>
      <c r="B469" s="267"/>
      <c r="C469" s="267"/>
      <c r="D469" s="267"/>
      <c r="E469" s="267"/>
      <c r="F469" s="267"/>
      <c r="G469" s="267"/>
      <c r="H469" s="267"/>
      <c r="I469" s="267"/>
      <c r="J469" s="267"/>
    </row>
    <row r="470" spans="1:10" ht="21" customHeight="1">
      <c r="A470" s="748" t="s">
        <v>289</v>
      </c>
      <c r="B470" s="748"/>
      <c r="C470" s="748"/>
      <c r="D470" s="748"/>
      <c r="E470" s="748"/>
      <c r="F470" s="748"/>
      <c r="G470" s="748"/>
      <c r="H470" s="748"/>
      <c r="I470" s="748"/>
      <c r="J470" s="748"/>
    </row>
    <row r="471" ht="15.75" customHeight="1"/>
    <row r="472" ht="19.5" customHeight="1">
      <c r="A472" s="8" t="s">
        <v>265</v>
      </c>
    </row>
    <row r="473" ht="19.5" customHeight="1"/>
    <row r="474" spans="1:10" ht="19.5" customHeight="1">
      <c r="A474" s="671" t="s">
        <v>74</v>
      </c>
      <c r="B474" s="671"/>
      <c r="C474" s="671"/>
      <c r="D474" s="671"/>
      <c r="E474" s="671"/>
      <c r="F474" s="671"/>
      <c r="G474" s="671"/>
      <c r="H474" s="671"/>
      <c r="I474" s="671"/>
      <c r="J474" s="671"/>
    </row>
    <row r="475" spans="1:10" ht="25.5" customHeight="1">
      <c r="A475" s="13"/>
      <c r="B475" s="13"/>
      <c r="C475" s="13"/>
      <c r="D475" s="13"/>
      <c r="E475" s="13"/>
      <c r="F475" s="13"/>
      <c r="G475" s="13"/>
      <c r="H475" s="13"/>
      <c r="I475" s="13"/>
      <c r="J475" s="13"/>
    </row>
    <row r="476" spans="1:10" ht="15" customHeight="1">
      <c r="A476" s="681" t="s">
        <v>97</v>
      </c>
      <c r="B476" s="681" t="s">
        <v>187</v>
      </c>
      <c r="C476" s="668" t="s">
        <v>188</v>
      </c>
      <c r="D476" s="669"/>
      <c r="E476" s="679" t="s">
        <v>189</v>
      </c>
      <c r="F476" s="666" t="s">
        <v>169</v>
      </c>
      <c r="G476" s="681" t="s">
        <v>170</v>
      </c>
      <c r="H476" s="676" t="s">
        <v>171</v>
      </c>
      <c r="I476" s="72" t="s">
        <v>190</v>
      </c>
      <c r="J476" s="776" t="s">
        <v>262</v>
      </c>
    </row>
    <row r="477" spans="1:12" s="5" customFormat="1" ht="33" customHeight="1">
      <c r="A477" s="682"/>
      <c r="B477" s="682"/>
      <c r="C477" s="4" t="s">
        <v>191</v>
      </c>
      <c r="D477" s="4" t="s">
        <v>192</v>
      </c>
      <c r="E477" s="680"/>
      <c r="F477" s="667"/>
      <c r="G477" s="682"/>
      <c r="H477" s="677"/>
      <c r="I477" s="70" t="s">
        <v>193</v>
      </c>
      <c r="J477" s="777"/>
      <c r="L477" s="20"/>
    </row>
    <row r="478" spans="1:10" ht="100.5" customHeight="1">
      <c r="A478" s="48" t="s">
        <v>208</v>
      </c>
      <c r="B478" s="10">
        <v>3</v>
      </c>
      <c r="C478" s="10">
        <v>745</v>
      </c>
      <c r="D478" s="10"/>
      <c r="E478" s="10" t="s">
        <v>173</v>
      </c>
      <c r="F478" s="10" t="s">
        <v>234</v>
      </c>
      <c r="G478" s="10" t="s">
        <v>173</v>
      </c>
      <c r="H478" s="11">
        <v>6000</v>
      </c>
      <c r="I478" s="18">
        <v>8986.38</v>
      </c>
      <c r="J478" s="18">
        <f>I478*100</f>
        <v>898637.9999999999</v>
      </c>
    </row>
    <row r="479" spans="1:10" ht="34.5" customHeight="1" thickBot="1">
      <c r="A479" s="497"/>
      <c r="B479" s="498"/>
      <c r="C479" s="498"/>
      <c r="D479" s="498"/>
      <c r="E479" s="498"/>
      <c r="F479" s="498"/>
      <c r="G479" s="498"/>
      <c r="H479" s="499"/>
      <c r="I479" s="500"/>
      <c r="J479" s="501"/>
    </row>
    <row r="480" spans="1:12" s="46" customFormat="1" ht="34.5" customHeight="1">
      <c r="A480" s="711" t="s">
        <v>483</v>
      </c>
      <c r="B480" s="712"/>
      <c r="C480" s="712"/>
      <c r="D480" s="712"/>
      <c r="E480" s="712"/>
      <c r="F480" s="712"/>
      <c r="G480" s="712"/>
      <c r="H480" s="712"/>
      <c r="I480" s="712"/>
      <c r="J480" s="278">
        <v>2886085.06</v>
      </c>
      <c r="L480" s="401"/>
    </row>
    <row r="481" spans="1:10" ht="29.25" customHeight="1">
      <c r="A481" s="37"/>
      <c r="B481" s="37"/>
      <c r="C481" s="37"/>
      <c r="D481" s="37"/>
      <c r="E481" s="37"/>
      <c r="F481" s="37"/>
      <c r="G481" s="37"/>
      <c r="H481" s="37"/>
      <c r="I481" s="38"/>
      <c r="J481" s="39"/>
    </row>
    <row r="482" spans="1:12" s="40" customFormat="1" ht="40.5" customHeight="1">
      <c r="A482" s="775" t="s">
        <v>593</v>
      </c>
      <c r="B482" s="775"/>
      <c r="C482" s="775"/>
      <c r="D482" s="775"/>
      <c r="E482" s="775"/>
      <c r="F482" s="775"/>
      <c r="G482" s="775"/>
      <c r="H482" s="775"/>
      <c r="I482" s="775"/>
      <c r="J482" s="775"/>
      <c r="L482" s="83">
        <f>2712141.14+168553.92</f>
        <v>2880695.06</v>
      </c>
    </row>
    <row r="483" spans="1:10" ht="41.25" customHeight="1" thickBot="1">
      <c r="A483" s="675"/>
      <c r="B483" s="675"/>
      <c r="C483" s="675"/>
      <c r="D483" s="675"/>
      <c r="E483" s="675"/>
      <c r="F483" s="675"/>
      <c r="G483" s="675"/>
      <c r="H483" s="675"/>
      <c r="I483" s="675"/>
      <c r="J483" s="675"/>
    </row>
    <row r="484" spans="1:10" ht="46.5" thickBot="1" thickTop="1">
      <c r="A484" s="655" t="s">
        <v>299</v>
      </c>
      <c r="B484" s="656"/>
      <c r="C484" s="656"/>
      <c r="D484" s="656"/>
      <c r="E484" s="656"/>
      <c r="F484" s="656"/>
      <c r="G484" s="656"/>
      <c r="H484" s="656"/>
      <c r="I484" s="656"/>
      <c r="J484" s="657"/>
    </row>
    <row r="485" ht="13.5" thickTop="1"/>
    <row r="486" spans="1:12" s="5" customFormat="1" ht="24" customHeight="1">
      <c r="A486" s="710" t="s">
        <v>249</v>
      </c>
      <c r="B486" s="710"/>
      <c r="C486" s="710"/>
      <c r="D486" s="710"/>
      <c r="E486" s="710"/>
      <c r="F486" s="710"/>
      <c r="G486" s="710"/>
      <c r="H486" s="710"/>
      <c r="I486" s="710"/>
      <c r="J486" s="710"/>
      <c r="L486" s="20"/>
    </row>
    <row r="487" spans="1:12" s="5" customFormat="1" ht="19.5" customHeight="1">
      <c r="A487" s="678" t="s">
        <v>122</v>
      </c>
      <c r="B487" s="678"/>
      <c r="C487" s="678"/>
      <c r="D487" s="678"/>
      <c r="E487" s="678"/>
      <c r="F487" s="678"/>
      <c r="G487" s="678"/>
      <c r="H487" s="678"/>
      <c r="I487" s="678"/>
      <c r="J487" s="678"/>
      <c r="L487" s="20"/>
    </row>
    <row r="488" spans="1:12" s="5" customFormat="1" ht="19.5" customHeight="1">
      <c r="A488" s="678" t="s">
        <v>529</v>
      </c>
      <c r="B488" s="678"/>
      <c r="C488" s="678"/>
      <c r="D488" s="678"/>
      <c r="E488" s="678"/>
      <c r="F488" s="678"/>
      <c r="G488" s="678"/>
      <c r="H488" s="678"/>
      <c r="I488" s="678"/>
      <c r="J488" s="678"/>
      <c r="L488" s="20"/>
    </row>
    <row r="489" spans="1:12" s="5" customFormat="1" ht="19.5" customHeight="1">
      <c r="A489" s="678"/>
      <c r="B489" s="678"/>
      <c r="C489" s="678"/>
      <c r="D489" s="678"/>
      <c r="E489" s="678"/>
      <c r="F489" s="678"/>
      <c r="G489" s="678"/>
      <c r="H489" s="678"/>
      <c r="I489" s="678"/>
      <c r="J489" s="678"/>
      <c r="L489" s="20"/>
    </row>
    <row r="490" spans="1:12" s="9" customFormat="1" ht="24" customHeight="1">
      <c r="A490" s="43"/>
      <c r="B490" s="43"/>
      <c r="C490" s="43"/>
      <c r="D490" s="43"/>
      <c r="E490" s="43"/>
      <c r="F490" s="43"/>
      <c r="G490" s="43"/>
      <c r="H490" s="43"/>
      <c r="I490" s="43"/>
      <c r="J490" s="43"/>
      <c r="L490" s="534"/>
    </row>
    <row r="491" spans="1:12" s="5" customFormat="1" ht="24.75" customHeight="1">
      <c r="A491" s="703" t="s">
        <v>97</v>
      </c>
      <c r="B491" s="703" t="s">
        <v>187</v>
      </c>
      <c r="C491" s="703" t="s">
        <v>188</v>
      </c>
      <c r="D491" s="703"/>
      <c r="E491" s="704" t="s">
        <v>189</v>
      </c>
      <c r="F491" s="681" t="s">
        <v>169</v>
      </c>
      <c r="G491" s="681" t="s">
        <v>170</v>
      </c>
      <c r="H491" s="676" t="s">
        <v>171</v>
      </c>
      <c r="I491" s="72" t="s">
        <v>190</v>
      </c>
      <c r="J491" s="658" t="s">
        <v>172</v>
      </c>
      <c r="L491" s="20"/>
    </row>
    <row r="492" spans="1:12" s="5" customFormat="1" ht="15">
      <c r="A492" s="703"/>
      <c r="B492" s="703"/>
      <c r="C492" s="4" t="s">
        <v>191</v>
      </c>
      <c r="D492" s="4" t="s">
        <v>192</v>
      </c>
      <c r="E492" s="704"/>
      <c r="F492" s="682"/>
      <c r="G492" s="682"/>
      <c r="H492" s="677"/>
      <c r="I492" s="70" t="s">
        <v>193</v>
      </c>
      <c r="J492" s="659"/>
      <c r="L492" s="20"/>
    </row>
    <row r="493" spans="1:12" s="5" customFormat="1" ht="15">
      <c r="A493" s="4" t="s">
        <v>128</v>
      </c>
      <c r="B493" s="29">
        <v>18</v>
      </c>
      <c r="C493" s="47">
        <v>587</v>
      </c>
      <c r="D493" s="4"/>
      <c r="E493" s="29" t="s">
        <v>232</v>
      </c>
      <c r="F493" s="4"/>
      <c r="G493" s="4"/>
      <c r="H493" s="30">
        <v>6125</v>
      </c>
      <c r="I493" s="576">
        <v>8857.24</v>
      </c>
      <c r="J493" s="50">
        <f>I493*100</f>
        <v>885724</v>
      </c>
      <c r="L493" s="20"/>
    </row>
    <row r="494" spans="1:10" ht="19.5" customHeight="1">
      <c r="A494" s="691" t="s">
        <v>242</v>
      </c>
      <c r="B494" s="691"/>
      <c r="C494" s="691"/>
      <c r="D494" s="691"/>
      <c r="E494" s="691"/>
      <c r="F494" s="691"/>
      <c r="G494" s="691"/>
      <c r="H494" s="691"/>
      <c r="I494" s="691"/>
      <c r="J494" s="31">
        <f>SUM(J493:J493)</f>
        <v>885724</v>
      </c>
    </row>
    <row r="495" spans="9:12" s="5" customFormat="1" ht="22.5" customHeight="1">
      <c r="I495" s="40"/>
      <c r="L495" s="20"/>
    </row>
    <row r="496" spans="1:12" s="46" customFormat="1" ht="34.5" customHeight="1" thickBot="1">
      <c r="A496" s="804" t="s">
        <v>155</v>
      </c>
      <c r="B496" s="805"/>
      <c r="C496" s="805"/>
      <c r="D496" s="805"/>
      <c r="E496" s="805"/>
      <c r="F496" s="805"/>
      <c r="G496" s="805"/>
      <c r="H496" s="805"/>
      <c r="I496" s="806"/>
      <c r="J496" s="42">
        <v>975529.79</v>
      </c>
      <c r="K496" s="401">
        <f>J496-848516.02</f>
        <v>127013.77000000002</v>
      </c>
      <c r="L496" s="401"/>
    </row>
    <row r="497" spans="1:12" s="3" customFormat="1" ht="34.5" customHeight="1" thickBot="1">
      <c r="A497" s="868" t="s">
        <v>242</v>
      </c>
      <c r="B497" s="742"/>
      <c r="C497" s="742"/>
      <c r="D497" s="742"/>
      <c r="E497" s="742"/>
      <c r="F497" s="742"/>
      <c r="G497" s="742"/>
      <c r="H497" s="742"/>
      <c r="I497" s="742"/>
      <c r="J497" s="557">
        <f>J494+J496</f>
        <v>1861253.79</v>
      </c>
      <c r="K497" s="14">
        <f>J497-1734240.02</f>
        <v>127013.77000000002</v>
      </c>
      <c r="L497" s="14"/>
    </row>
    <row r="498" spans="1:12" s="3" customFormat="1" ht="19.5" customHeight="1">
      <c r="A498" s="37"/>
      <c r="B498" s="37"/>
      <c r="C498" s="37"/>
      <c r="D498" s="37"/>
      <c r="E498" s="37"/>
      <c r="F498" s="37"/>
      <c r="G498" s="37"/>
      <c r="H498" s="37"/>
      <c r="I498" s="37"/>
      <c r="J498" s="277"/>
      <c r="L498" s="14"/>
    </row>
    <row r="499" spans="1:12" s="3" customFormat="1" ht="54" customHeight="1">
      <c r="A499" s="721" t="s">
        <v>594</v>
      </c>
      <c r="B499" s="721"/>
      <c r="C499" s="721"/>
      <c r="D499" s="721"/>
      <c r="E499" s="721"/>
      <c r="F499" s="721"/>
      <c r="G499" s="721"/>
      <c r="H499" s="721"/>
      <c r="I499" s="721"/>
      <c r="J499" s="721"/>
      <c r="L499" s="14"/>
    </row>
    <row r="500" spans="1:12" s="5" customFormat="1" ht="29.25" customHeight="1" thickBot="1">
      <c r="A500" s="773"/>
      <c r="B500" s="773"/>
      <c r="C500" s="773"/>
      <c r="D500" s="773"/>
      <c r="E500" s="773"/>
      <c r="F500" s="773"/>
      <c r="G500" s="773"/>
      <c r="H500" s="773"/>
      <c r="I500" s="773"/>
      <c r="J500" s="773"/>
      <c r="L500" s="20"/>
    </row>
    <row r="501" spans="1:10" ht="49.5" customHeight="1" thickBot="1" thickTop="1">
      <c r="A501" s="655" t="s">
        <v>309</v>
      </c>
      <c r="B501" s="656"/>
      <c r="C501" s="656"/>
      <c r="D501" s="656"/>
      <c r="E501" s="656"/>
      <c r="F501" s="656"/>
      <c r="G501" s="656"/>
      <c r="H501" s="656"/>
      <c r="I501" s="656"/>
      <c r="J501" s="657"/>
    </row>
    <row r="502" spans="1:12" s="5" customFormat="1" ht="24.75" customHeight="1" thickTop="1">
      <c r="A502" s="710" t="s">
        <v>249</v>
      </c>
      <c r="B502" s="755"/>
      <c r="C502" s="755"/>
      <c r="D502" s="755"/>
      <c r="E502" s="755"/>
      <c r="F502" s="755"/>
      <c r="G502" s="755"/>
      <c r="H502" s="755"/>
      <c r="I502" s="755"/>
      <c r="J502" s="755"/>
      <c r="L502" s="20"/>
    </row>
    <row r="503" spans="1:12" s="5" customFormat="1" ht="24.75" customHeight="1">
      <c r="A503" s="678" t="s">
        <v>558</v>
      </c>
      <c r="B503" s="729"/>
      <c r="C503" s="729"/>
      <c r="D503" s="729"/>
      <c r="E503" s="729"/>
      <c r="F503" s="729"/>
      <c r="G503" s="729"/>
      <c r="H503" s="729"/>
      <c r="I503" s="729"/>
      <c r="J503" s="729"/>
      <c r="L503" s="20"/>
    </row>
    <row r="504" spans="1:12" s="5" customFormat="1" ht="36.75" customHeight="1">
      <c r="A504" s="678" t="s">
        <v>530</v>
      </c>
      <c r="B504" s="729"/>
      <c r="C504" s="729"/>
      <c r="D504" s="729"/>
      <c r="E504" s="729"/>
      <c r="F504" s="729"/>
      <c r="G504" s="729"/>
      <c r="H504" s="729"/>
      <c r="I504" s="729"/>
      <c r="J504" s="729"/>
      <c r="L504" s="20"/>
    </row>
    <row r="505" spans="1:12" s="5" customFormat="1" ht="38.25" customHeight="1">
      <c r="A505" s="678" t="s">
        <v>310</v>
      </c>
      <c r="B505" s="729"/>
      <c r="C505" s="729"/>
      <c r="D505" s="729"/>
      <c r="E505" s="729"/>
      <c r="F505" s="729"/>
      <c r="G505" s="729"/>
      <c r="H505" s="729"/>
      <c r="I505" s="729"/>
      <c r="J505" s="729"/>
      <c r="L505" s="20"/>
    </row>
    <row r="506" spans="1:10" ht="24" customHeight="1">
      <c r="A506" s="43"/>
      <c r="B506" s="44"/>
      <c r="C506" s="44"/>
      <c r="D506" s="44"/>
      <c r="E506" s="44"/>
      <c r="F506" s="44"/>
      <c r="G506" s="44"/>
      <c r="H506" s="44"/>
      <c r="I506" s="44"/>
      <c r="J506" s="44"/>
    </row>
    <row r="507" spans="1:12" s="5" customFormat="1" ht="33" customHeight="1">
      <c r="A507" s="681" t="s">
        <v>97</v>
      </c>
      <c r="B507" s="681" t="s">
        <v>187</v>
      </c>
      <c r="C507" s="668" t="s">
        <v>188</v>
      </c>
      <c r="D507" s="669"/>
      <c r="E507" s="679" t="s">
        <v>189</v>
      </c>
      <c r="F507" s="666" t="s">
        <v>169</v>
      </c>
      <c r="G507" s="681" t="s">
        <v>170</v>
      </c>
      <c r="H507" s="676" t="s">
        <v>171</v>
      </c>
      <c r="I507" s="72" t="s">
        <v>190</v>
      </c>
      <c r="J507" s="776" t="s">
        <v>281</v>
      </c>
      <c r="L507" s="20"/>
    </row>
    <row r="508" spans="1:12" s="5" customFormat="1" ht="15">
      <c r="A508" s="682"/>
      <c r="B508" s="682"/>
      <c r="C508" s="4" t="s">
        <v>191</v>
      </c>
      <c r="D508" s="4" t="s">
        <v>192</v>
      </c>
      <c r="E508" s="680"/>
      <c r="F508" s="667"/>
      <c r="G508" s="682"/>
      <c r="H508" s="677"/>
      <c r="I508" s="70" t="s">
        <v>193</v>
      </c>
      <c r="J508" s="777"/>
      <c r="L508" s="20"/>
    </row>
    <row r="509" spans="1:12" s="5" customFormat="1" ht="29.25" customHeight="1">
      <c r="A509" s="98" t="s">
        <v>129</v>
      </c>
      <c r="B509" s="27">
        <v>13</v>
      </c>
      <c r="C509" s="32">
        <v>1311</v>
      </c>
      <c r="D509" s="4">
        <v>2</v>
      </c>
      <c r="E509" s="27" t="s">
        <v>232</v>
      </c>
      <c r="F509" s="4"/>
      <c r="G509" s="27" t="s">
        <v>173</v>
      </c>
      <c r="H509" s="30" t="s">
        <v>555</v>
      </c>
      <c r="I509" s="133">
        <v>5188.53</v>
      </c>
      <c r="J509" s="50">
        <f>I509*100</f>
        <v>518853</v>
      </c>
      <c r="L509" s="20"/>
    </row>
    <row r="510" spans="1:10" ht="19.5" customHeight="1">
      <c r="A510" s="691" t="s">
        <v>242</v>
      </c>
      <c r="B510" s="691"/>
      <c r="C510" s="691"/>
      <c r="D510" s="691"/>
      <c r="E510" s="691"/>
      <c r="F510" s="691"/>
      <c r="G510" s="691"/>
      <c r="H510" s="691"/>
      <c r="I510" s="691"/>
      <c r="J510" s="31">
        <f>SUM(J509:J509)</f>
        <v>518853</v>
      </c>
    </row>
    <row r="511" spans="9:12" s="5" customFormat="1" ht="35.25" customHeight="1">
      <c r="I511" s="40"/>
      <c r="L511" s="20"/>
    </row>
    <row r="512" spans="1:10" ht="48" customHeight="1" thickBot="1">
      <c r="A512" s="672"/>
      <c r="B512" s="673"/>
      <c r="C512" s="673"/>
      <c r="D512" s="673"/>
      <c r="E512" s="673"/>
      <c r="F512" s="673"/>
      <c r="G512" s="673"/>
      <c r="H512" s="673"/>
      <c r="I512" s="673"/>
      <c r="J512" s="673"/>
    </row>
    <row r="513" spans="1:10" ht="49.5" customHeight="1" thickBot="1" thickTop="1">
      <c r="A513" s="655" t="s">
        <v>21</v>
      </c>
      <c r="B513" s="656"/>
      <c r="C513" s="656"/>
      <c r="D513" s="656"/>
      <c r="E513" s="656"/>
      <c r="F513" s="656"/>
      <c r="G513" s="656"/>
      <c r="H513" s="656"/>
      <c r="I513" s="656"/>
      <c r="J513" s="657"/>
    </row>
    <row r="514" spans="1:10" ht="24.75" customHeight="1" thickTop="1">
      <c r="A514" s="710" t="s">
        <v>249</v>
      </c>
      <c r="B514" s="710"/>
      <c r="C514" s="710"/>
      <c r="D514" s="710"/>
      <c r="E514" s="710"/>
      <c r="F514" s="710"/>
      <c r="G514" s="710"/>
      <c r="H514" s="710"/>
      <c r="I514" s="710"/>
      <c r="J514" s="710"/>
    </row>
    <row r="515" spans="1:10" ht="24.75" customHeight="1">
      <c r="A515" s="678" t="s">
        <v>275</v>
      </c>
      <c r="B515" s="729"/>
      <c r="C515" s="729"/>
      <c r="D515" s="729"/>
      <c r="E515" s="729"/>
      <c r="F515" s="729"/>
      <c r="G515" s="729"/>
      <c r="H515" s="729"/>
      <c r="I515" s="729"/>
      <c r="J515" s="729"/>
    </row>
    <row r="516" spans="1:10" ht="24.75" customHeight="1">
      <c r="A516" s="678" t="s">
        <v>531</v>
      </c>
      <c r="B516" s="729"/>
      <c r="C516" s="729"/>
      <c r="D516" s="729"/>
      <c r="E516" s="729"/>
      <c r="F516" s="729"/>
      <c r="G516" s="729"/>
      <c r="H516" s="729"/>
      <c r="I516" s="729"/>
      <c r="J516" s="729"/>
    </row>
    <row r="517" spans="1:10" ht="24.75" customHeight="1">
      <c r="A517" s="678" t="s">
        <v>310</v>
      </c>
      <c r="B517" s="729"/>
      <c r="C517" s="729"/>
      <c r="D517" s="729"/>
      <c r="E517" s="729"/>
      <c r="F517" s="729"/>
      <c r="G517" s="729"/>
      <c r="H517" s="729"/>
      <c r="I517" s="729"/>
      <c r="J517" s="729"/>
    </row>
    <row r="518" spans="1:10" ht="24.75" customHeight="1">
      <c r="A518" s="5"/>
      <c r="B518" s="5"/>
      <c r="C518" s="5"/>
      <c r="D518" s="5"/>
      <c r="E518" s="5"/>
      <c r="F518" s="5"/>
      <c r="G518" s="5"/>
      <c r="H518" s="5"/>
      <c r="I518" s="40"/>
      <c r="J518" s="5"/>
    </row>
    <row r="519" spans="1:10" ht="24" customHeight="1">
      <c r="A519" s="5"/>
      <c r="B519" s="5"/>
      <c r="C519" s="5"/>
      <c r="D519" s="5"/>
      <c r="E519" s="5"/>
      <c r="F519" s="5"/>
      <c r="G519" s="5"/>
      <c r="H519" s="5"/>
      <c r="I519" s="40"/>
      <c r="J519" s="5"/>
    </row>
    <row r="520" spans="1:12" s="5" customFormat="1" ht="33" customHeight="1">
      <c r="A520" s="681" t="s">
        <v>97</v>
      </c>
      <c r="B520" s="681" t="s">
        <v>187</v>
      </c>
      <c r="C520" s="668" t="s">
        <v>188</v>
      </c>
      <c r="D520" s="669"/>
      <c r="E520" s="679" t="s">
        <v>189</v>
      </c>
      <c r="F520" s="666" t="s">
        <v>169</v>
      </c>
      <c r="G520" s="681" t="s">
        <v>170</v>
      </c>
      <c r="H520" s="676" t="s">
        <v>171</v>
      </c>
      <c r="I520" s="72" t="s">
        <v>190</v>
      </c>
      <c r="J520" s="776" t="s">
        <v>281</v>
      </c>
      <c r="L520" s="20"/>
    </row>
    <row r="521" spans="1:10" ht="15">
      <c r="A521" s="682"/>
      <c r="B521" s="682"/>
      <c r="C521" s="4" t="s">
        <v>191</v>
      </c>
      <c r="D521" s="4" t="s">
        <v>192</v>
      </c>
      <c r="E521" s="680"/>
      <c r="F521" s="667"/>
      <c r="G521" s="682"/>
      <c r="H521" s="677"/>
      <c r="I521" s="70" t="s">
        <v>193</v>
      </c>
      <c r="J521" s="777"/>
    </row>
    <row r="522" spans="1:10" ht="25.5" customHeight="1">
      <c r="A522" s="880" t="s">
        <v>130</v>
      </c>
      <c r="B522" s="10">
        <v>27</v>
      </c>
      <c r="C522" s="47">
        <v>460</v>
      </c>
      <c r="D522" s="47">
        <v>1</v>
      </c>
      <c r="E522" s="4"/>
      <c r="F522" s="29" t="s">
        <v>241</v>
      </c>
      <c r="G522" s="4" t="s">
        <v>173</v>
      </c>
      <c r="H522" s="29" t="s">
        <v>22</v>
      </c>
      <c r="I522" s="115">
        <v>3738.48</v>
      </c>
      <c r="J522" s="648">
        <f>I522*100</f>
        <v>373848</v>
      </c>
    </row>
    <row r="523" spans="1:10" ht="20.25" customHeight="1">
      <c r="A523" s="881"/>
      <c r="B523" s="10">
        <v>27</v>
      </c>
      <c r="C523" s="47">
        <v>460</v>
      </c>
      <c r="D523" s="47">
        <v>2</v>
      </c>
      <c r="E523" s="4"/>
      <c r="F523" s="29" t="s">
        <v>23</v>
      </c>
      <c r="G523" s="4" t="s">
        <v>173</v>
      </c>
      <c r="H523" s="29" t="s">
        <v>24</v>
      </c>
      <c r="I523" s="115">
        <v>981.27</v>
      </c>
      <c r="J523" s="648">
        <f>I523*50</f>
        <v>49063.5</v>
      </c>
    </row>
    <row r="524" spans="1:12" s="1" customFormat="1" ht="28.5" customHeight="1">
      <c r="A524" s="717" t="s">
        <v>242</v>
      </c>
      <c r="B524" s="718"/>
      <c r="C524" s="718"/>
      <c r="D524" s="718"/>
      <c r="E524" s="718"/>
      <c r="F524" s="718"/>
      <c r="G524" s="718"/>
      <c r="H524" s="718"/>
      <c r="I524" s="719"/>
      <c r="J524" s="553">
        <f>SUM(J522:J523)</f>
        <v>422911.5</v>
      </c>
      <c r="L524" s="85"/>
    </row>
    <row r="525" spans="1:12" s="1" customFormat="1" ht="31.5" customHeight="1">
      <c r="A525" s="790"/>
      <c r="B525" s="790"/>
      <c r="C525" s="790"/>
      <c r="D525" s="790"/>
      <c r="E525" s="790"/>
      <c r="F525" s="790"/>
      <c r="G525" s="790"/>
      <c r="H525" s="790"/>
      <c r="I525" s="790"/>
      <c r="J525" s="790"/>
      <c r="L525" s="85"/>
    </row>
    <row r="526" spans="1:10" ht="48" customHeight="1" thickBot="1">
      <c r="A526" s="5"/>
      <c r="B526" s="5"/>
      <c r="C526" s="5"/>
      <c r="D526" s="5"/>
      <c r="E526" s="5"/>
      <c r="F526" s="5"/>
      <c r="G526" s="5"/>
      <c r="H526" s="52"/>
      <c r="I526" s="69"/>
      <c r="J526" s="20"/>
    </row>
    <row r="527" spans="1:10" ht="51" customHeight="1" thickBot="1" thickTop="1">
      <c r="A527" s="655" t="s">
        <v>284</v>
      </c>
      <c r="B527" s="656"/>
      <c r="C527" s="656"/>
      <c r="D527" s="656"/>
      <c r="E527" s="656"/>
      <c r="F527" s="656"/>
      <c r="G527" s="656"/>
      <c r="H527" s="656"/>
      <c r="I527" s="656"/>
      <c r="J527" s="657"/>
    </row>
    <row r="528" spans="1:12" s="5" customFormat="1" ht="49.5" customHeight="1" thickTop="1">
      <c r="A528" s="710" t="s">
        <v>249</v>
      </c>
      <c r="B528" s="710"/>
      <c r="C528" s="710"/>
      <c r="D528" s="710"/>
      <c r="E528" s="710"/>
      <c r="F528" s="710"/>
      <c r="G528" s="710"/>
      <c r="H528" s="710"/>
      <c r="I528" s="710"/>
      <c r="J528" s="710"/>
      <c r="L528" s="20"/>
    </row>
    <row r="529" spans="1:12" s="5" customFormat="1" ht="49.5" customHeight="1">
      <c r="A529" s="89"/>
      <c r="B529" s="89"/>
      <c r="C529" s="89"/>
      <c r="D529" s="89"/>
      <c r="E529" s="89"/>
      <c r="F529" s="89"/>
      <c r="G529" s="89"/>
      <c r="H529" s="89"/>
      <c r="I529" s="89"/>
      <c r="J529" s="89"/>
      <c r="L529" s="20"/>
    </row>
    <row r="530" spans="1:12" s="5" customFormat="1" ht="33.75" customHeight="1">
      <c r="A530" s="774" t="s">
        <v>293</v>
      </c>
      <c r="B530" s="729"/>
      <c r="C530" s="729"/>
      <c r="D530" s="729"/>
      <c r="E530" s="729"/>
      <c r="F530" s="729"/>
      <c r="G530" s="729"/>
      <c r="H530" s="729"/>
      <c r="I530" s="729"/>
      <c r="J530" s="729"/>
      <c r="L530" s="20"/>
    </row>
    <row r="531" spans="1:12" s="5" customFormat="1" ht="24.75" customHeight="1">
      <c r="A531" s="678" t="s">
        <v>269</v>
      </c>
      <c r="B531" s="729"/>
      <c r="C531" s="729"/>
      <c r="D531" s="729"/>
      <c r="E531" s="729"/>
      <c r="F531" s="729"/>
      <c r="G531" s="729"/>
      <c r="H531" s="729"/>
      <c r="I531" s="729"/>
      <c r="J531" s="729"/>
      <c r="L531" s="20"/>
    </row>
    <row r="532" spans="1:12" s="5" customFormat="1" ht="24.75" customHeight="1">
      <c r="A532" s="678" t="s">
        <v>75</v>
      </c>
      <c r="B532" s="729"/>
      <c r="C532" s="729"/>
      <c r="D532" s="729"/>
      <c r="E532" s="729"/>
      <c r="F532" s="729"/>
      <c r="G532" s="729"/>
      <c r="H532" s="729"/>
      <c r="I532" s="729"/>
      <c r="J532" s="729"/>
      <c r="L532" s="20"/>
    </row>
    <row r="533" spans="1:12" s="5" customFormat="1" ht="15.75">
      <c r="A533" s="43"/>
      <c r="B533" s="44"/>
      <c r="C533" s="44"/>
      <c r="D533" s="44"/>
      <c r="E533" s="44"/>
      <c r="F533" s="44"/>
      <c r="G533" s="44"/>
      <c r="H533" s="44"/>
      <c r="I533" s="44"/>
      <c r="J533" s="44"/>
      <c r="L533" s="20"/>
    </row>
    <row r="534" spans="1:12" s="5" customFormat="1" ht="61.5" customHeight="1">
      <c r="A534" s="27" t="s">
        <v>97</v>
      </c>
      <c r="B534" s="27" t="s">
        <v>248</v>
      </c>
      <c r="C534" s="778" t="s">
        <v>267</v>
      </c>
      <c r="D534" s="778"/>
      <c r="E534" s="121" t="s">
        <v>268</v>
      </c>
      <c r="F534" s="27" t="s">
        <v>169</v>
      </c>
      <c r="G534" s="27" t="s">
        <v>170</v>
      </c>
      <c r="H534" s="27" t="s">
        <v>171</v>
      </c>
      <c r="I534" s="98" t="s">
        <v>250</v>
      </c>
      <c r="J534" s="32" t="s">
        <v>281</v>
      </c>
      <c r="L534" s="20"/>
    </row>
    <row r="535" spans="1:12" s="5" customFormat="1" ht="30" customHeight="1">
      <c r="A535" s="49" t="s">
        <v>131</v>
      </c>
      <c r="B535" s="29">
        <v>2</v>
      </c>
      <c r="C535" s="48">
        <v>762</v>
      </c>
      <c r="D535" s="49"/>
      <c r="E535" s="29">
        <v>1</v>
      </c>
      <c r="F535" s="49" t="s">
        <v>232</v>
      </c>
      <c r="G535" s="29" t="s">
        <v>173</v>
      </c>
      <c r="H535" s="30">
        <v>1100</v>
      </c>
      <c r="I535" s="141">
        <v>1193.02</v>
      </c>
      <c r="J535" s="140">
        <f>I535*100</f>
        <v>119302</v>
      </c>
      <c r="L535" s="20"/>
    </row>
    <row r="536" spans="1:12" s="5" customFormat="1" ht="30" customHeight="1" thickBot="1">
      <c r="A536" s="49"/>
      <c r="B536" s="29"/>
      <c r="C536" s="48"/>
      <c r="D536" s="49"/>
      <c r="E536" s="29"/>
      <c r="F536" s="49"/>
      <c r="G536" s="29"/>
      <c r="H536" s="30"/>
      <c r="I536" s="141"/>
      <c r="J536" s="140"/>
      <c r="L536" s="20"/>
    </row>
    <row r="537" spans="1:12" s="5" customFormat="1" ht="30" customHeight="1" thickBot="1">
      <c r="A537" s="822" t="s">
        <v>230</v>
      </c>
      <c r="B537" s="823"/>
      <c r="C537" s="823"/>
      <c r="D537" s="823"/>
      <c r="E537" s="823"/>
      <c r="F537" s="823"/>
      <c r="G537" s="823"/>
      <c r="H537" s="823"/>
      <c r="I537" s="823"/>
      <c r="J537" s="558">
        <v>337271.19</v>
      </c>
      <c r="L537" s="20"/>
    </row>
    <row r="538" spans="9:12" s="5" customFormat="1" ht="47.25" customHeight="1">
      <c r="I538" s="40"/>
      <c r="L538" s="20"/>
    </row>
    <row r="539" spans="1:10" ht="41.25" customHeight="1" thickBot="1">
      <c r="A539" s="672"/>
      <c r="B539" s="673"/>
      <c r="C539" s="673"/>
      <c r="D539" s="673"/>
      <c r="E539" s="673"/>
      <c r="F539" s="673"/>
      <c r="G539" s="673"/>
      <c r="H539" s="673"/>
      <c r="I539" s="673"/>
      <c r="J539" s="673"/>
    </row>
    <row r="540" spans="1:10" ht="48" customHeight="1" thickBot="1">
      <c r="A540" s="767" t="s">
        <v>25</v>
      </c>
      <c r="B540" s="768"/>
      <c r="C540" s="768"/>
      <c r="D540" s="768"/>
      <c r="E540" s="768"/>
      <c r="F540" s="768"/>
      <c r="G540" s="768"/>
      <c r="H540" s="768"/>
      <c r="I540" s="768"/>
      <c r="J540" s="769"/>
    </row>
    <row r="541" spans="1:10" ht="39.75" customHeight="1" thickBot="1" thickTop="1">
      <c r="A541" s="655" t="s">
        <v>26</v>
      </c>
      <c r="B541" s="656"/>
      <c r="C541" s="656"/>
      <c r="D541" s="656"/>
      <c r="E541" s="656"/>
      <c r="F541" s="656"/>
      <c r="G541" s="656"/>
      <c r="H541" s="656"/>
      <c r="I541" s="656"/>
      <c r="J541" s="657"/>
    </row>
    <row r="542" spans="1:12" s="5" customFormat="1" ht="28.5" customHeight="1" thickTop="1">
      <c r="A542" s="710" t="s">
        <v>247</v>
      </c>
      <c r="B542" s="710"/>
      <c r="C542" s="710"/>
      <c r="D542" s="710"/>
      <c r="E542" s="710"/>
      <c r="F542" s="710"/>
      <c r="G542" s="710"/>
      <c r="H542" s="710"/>
      <c r="I542" s="710"/>
      <c r="J542" s="710"/>
      <c r="L542" s="20"/>
    </row>
    <row r="543" spans="1:12" s="5" customFormat="1" ht="19.5" customHeight="1">
      <c r="A543" s="678" t="s">
        <v>122</v>
      </c>
      <c r="B543" s="729"/>
      <c r="C543" s="729"/>
      <c r="D543" s="729"/>
      <c r="E543" s="729"/>
      <c r="F543" s="729"/>
      <c r="G543" s="729"/>
      <c r="H543" s="729"/>
      <c r="I543" s="729"/>
      <c r="J543" s="729"/>
      <c r="L543" s="20"/>
    </row>
    <row r="544" spans="1:12" s="5" customFormat="1" ht="19.5" customHeight="1">
      <c r="A544" s="678" t="s">
        <v>32</v>
      </c>
      <c r="B544" s="729"/>
      <c r="C544" s="729"/>
      <c r="D544" s="729"/>
      <c r="E544" s="729"/>
      <c r="F544" s="729"/>
      <c r="G544" s="729"/>
      <c r="H544" s="729"/>
      <c r="I544" s="729"/>
      <c r="J544" s="729"/>
      <c r="L544" s="20"/>
    </row>
    <row r="545" spans="1:12" s="5" customFormat="1" ht="19.5" customHeight="1">
      <c r="A545" s="678" t="s">
        <v>33</v>
      </c>
      <c r="B545" s="729"/>
      <c r="C545" s="729"/>
      <c r="D545" s="729"/>
      <c r="E545" s="729"/>
      <c r="F545" s="729"/>
      <c r="G545" s="729"/>
      <c r="H545" s="729"/>
      <c r="I545" s="729"/>
      <c r="J545" s="729"/>
      <c r="L545" s="20"/>
    </row>
    <row r="546" spans="1:12" s="9" customFormat="1" ht="28.5" customHeight="1">
      <c r="A546" s="43"/>
      <c r="B546" s="44"/>
      <c r="C546" s="44"/>
      <c r="D546" s="44"/>
      <c r="E546" s="44"/>
      <c r="F546" s="44"/>
      <c r="G546" s="44"/>
      <c r="H546" s="44"/>
      <c r="I546" s="44"/>
      <c r="J546" s="44"/>
      <c r="L546" s="534"/>
    </row>
    <row r="547" spans="1:12" s="5" customFormat="1" ht="19.5" customHeight="1">
      <c r="A547" s="703" t="s">
        <v>97</v>
      </c>
      <c r="B547" s="703" t="s">
        <v>187</v>
      </c>
      <c r="C547" s="703" t="s">
        <v>188</v>
      </c>
      <c r="D547" s="703"/>
      <c r="E547" s="704" t="s">
        <v>216</v>
      </c>
      <c r="F547" s="681" t="s">
        <v>213</v>
      </c>
      <c r="G547" s="681" t="s">
        <v>170</v>
      </c>
      <c r="H547" s="715" t="s">
        <v>214</v>
      </c>
      <c r="I547" s="713" t="s">
        <v>215</v>
      </c>
      <c r="J547" s="658" t="s">
        <v>172</v>
      </c>
      <c r="L547" s="20"/>
    </row>
    <row r="548" spans="1:12" s="5" customFormat="1" ht="15">
      <c r="A548" s="681"/>
      <c r="B548" s="681"/>
      <c r="C548" s="36" t="s">
        <v>191</v>
      </c>
      <c r="D548" s="36" t="s">
        <v>192</v>
      </c>
      <c r="E548" s="679"/>
      <c r="F548" s="682"/>
      <c r="G548" s="682"/>
      <c r="H548" s="716"/>
      <c r="I548" s="714"/>
      <c r="J548" s="659"/>
      <c r="L548" s="20"/>
    </row>
    <row r="549" spans="1:12" s="5" customFormat="1" ht="45">
      <c r="A549" s="48" t="s">
        <v>132</v>
      </c>
      <c r="B549" s="10">
        <v>16</v>
      </c>
      <c r="C549" s="10">
        <v>266</v>
      </c>
      <c r="D549" s="4"/>
      <c r="E549" s="11" t="s">
        <v>30</v>
      </c>
      <c r="F549" s="10" t="s">
        <v>260</v>
      </c>
      <c r="G549" s="4"/>
      <c r="H549" s="11"/>
      <c r="I549" s="76"/>
      <c r="J549" s="23"/>
      <c r="L549" s="20"/>
    </row>
    <row r="550" spans="1:10" ht="33" customHeight="1">
      <c r="A550" s="710" t="s">
        <v>249</v>
      </c>
      <c r="B550" s="710"/>
      <c r="C550" s="710"/>
      <c r="D550" s="710"/>
      <c r="E550" s="710"/>
      <c r="F550" s="710"/>
      <c r="G550" s="710"/>
      <c r="H550" s="710"/>
      <c r="I550" s="710"/>
      <c r="J550" s="710"/>
    </row>
    <row r="551" spans="1:10" ht="19.5" customHeight="1">
      <c r="A551" s="678" t="s">
        <v>122</v>
      </c>
      <c r="B551" s="729"/>
      <c r="C551" s="729"/>
      <c r="D551" s="729"/>
      <c r="E551" s="729"/>
      <c r="F551" s="729"/>
      <c r="G551" s="729"/>
      <c r="H551" s="729"/>
      <c r="I551" s="729"/>
      <c r="J551" s="729"/>
    </row>
    <row r="552" spans="1:10" ht="19.5" customHeight="1">
      <c r="A552" s="678" t="s">
        <v>32</v>
      </c>
      <c r="B552" s="729"/>
      <c r="C552" s="729"/>
      <c r="D552" s="729"/>
      <c r="E552" s="729"/>
      <c r="F552" s="729"/>
      <c r="G552" s="729"/>
      <c r="H552" s="729"/>
      <c r="I552" s="729"/>
      <c r="J552" s="729"/>
    </row>
    <row r="553" spans="1:10" ht="19.5" customHeight="1">
      <c r="A553" s="678" t="s">
        <v>34</v>
      </c>
      <c r="B553" s="729"/>
      <c r="C553" s="729"/>
      <c r="D553" s="729"/>
      <c r="E553" s="729"/>
      <c r="F553" s="729"/>
      <c r="G553" s="729"/>
      <c r="H553" s="729"/>
      <c r="I553" s="729"/>
      <c r="J553" s="729"/>
    </row>
    <row r="554" spans="1:10" ht="24" customHeight="1">
      <c r="A554" s="43"/>
      <c r="B554" s="44"/>
      <c r="C554" s="44"/>
      <c r="D554" s="44"/>
      <c r="E554" s="44"/>
      <c r="F554" s="44"/>
      <c r="G554" s="44"/>
      <c r="H554" s="44"/>
      <c r="I554" s="44"/>
      <c r="J554" s="44"/>
    </row>
    <row r="555" spans="1:12" s="5" customFormat="1" ht="33" customHeight="1">
      <c r="A555" s="681" t="s">
        <v>97</v>
      </c>
      <c r="B555" s="681" t="s">
        <v>187</v>
      </c>
      <c r="C555" s="668" t="s">
        <v>188</v>
      </c>
      <c r="D555" s="669"/>
      <c r="E555" s="679" t="s">
        <v>189</v>
      </c>
      <c r="F555" s="666" t="s">
        <v>169</v>
      </c>
      <c r="G555" s="681" t="s">
        <v>170</v>
      </c>
      <c r="H555" s="676" t="s">
        <v>171</v>
      </c>
      <c r="I555" s="72" t="s">
        <v>190</v>
      </c>
      <c r="J555" s="776" t="s">
        <v>281</v>
      </c>
      <c r="L555" s="20"/>
    </row>
    <row r="556" spans="1:10" ht="15">
      <c r="A556" s="682"/>
      <c r="B556" s="682"/>
      <c r="C556" s="4" t="s">
        <v>191</v>
      </c>
      <c r="D556" s="4" t="s">
        <v>192</v>
      </c>
      <c r="E556" s="680"/>
      <c r="F556" s="667"/>
      <c r="G556" s="682"/>
      <c r="H556" s="677"/>
      <c r="I556" s="70" t="s">
        <v>193</v>
      </c>
      <c r="J556" s="777"/>
    </row>
    <row r="557" spans="1:10" ht="45">
      <c r="A557" s="28" t="s">
        <v>132</v>
      </c>
      <c r="B557" s="10">
        <v>16</v>
      </c>
      <c r="C557" s="10">
        <v>266</v>
      </c>
      <c r="D557" s="4"/>
      <c r="E557" s="4"/>
      <c r="F557" s="10" t="s">
        <v>232</v>
      </c>
      <c r="G557" s="4"/>
      <c r="H557" s="11" t="s">
        <v>31</v>
      </c>
      <c r="I557" s="76" t="s">
        <v>72</v>
      </c>
      <c r="J557" s="18">
        <f>2303.91*100</f>
        <v>230391</v>
      </c>
    </row>
    <row r="558" spans="1:12" s="46" customFormat="1" ht="34.5" customHeight="1">
      <c r="A558" s="804" t="s">
        <v>155</v>
      </c>
      <c r="B558" s="805"/>
      <c r="C558" s="805"/>
      <c r="D558" s="805"/>
      <c r="E558" s="805"/>
      <c r="F558" s="805"/>
      <c r="G558" s="805"/>
      <c r="H558" s="805"/>
      <c r="I558" s="806"/>
      <c r="J558" s="42">
        <v>187362.62</v>
      </c>
      <c r="L558" s="401"/>
    </row>
    <row r="559" spans="1:12" s="46" customFormat="1" ht="35.25" customHeight="1">
      <c r="A559" s="691" t="s">
        <v>242</v>
      </c>
      <c r="B559" s="691"/>
      <c r="C559" s="691"/>
      <c r="D559" s="691"/>
      <c r="E559" s="691"/>
      <c r="F559" s="691"/>
      <c r="G559" s="691"/>
      <c r="H559" s="691"/>
      <c r="I559" s="691"/>
      <c r="J559" s="57">
        <f>J557+J558</f>
        <v>417753.62</v>
      </c>
      <c r="L559" s="401"/>
    </row>
    <row r="560" spans="1:12" s="3" customFormat="1" ht="34.5" customHeight="1">
      <c r="A560" s="721" t="s">
        <v>566</v>
      </c>
      <c r="B560" s="721"/>
      <c r="C560" s="721"/>
      <c r="D560" s="721"/>
      <c r="E560" s="721"/>
      <c r="F560" s="721"/>
      <c r="G560" s="721"/>
      <c r="H560" s="721"/>
      <c r="I560" s="721"/>
      <c r="J560" s="721"/>
      <c r="L560" s="14"/>
    </row>
    <row r="561" spans="1:12" s="5" customFormat="1" ht="15">
      <c r="A561" s="3"/>
      <c r="B561" s="12"/>
      <c r="C561" s="12"/>
      <c r="D561" s="3"/>
      <c r="E561" s="3"/>
      <c r="F561" s="12"/>
      <c r="G561" s="3"/>
      <c r="H561" s="53"/>
      <c r="I561" s="79"/>
      <c r="J561" s="14"/>
      <c r="L561" s="20"/>
    </row>
    <row r="562" spans="1:12" s="5" customFormat="1" ht="24" customHeight="1">
      <c r="A562" s="710" t="s">
        <v>247</v>
      </c>
      <c r="B562" s="710"/>
      <c r="C562" s="710"/>
      <c r="D562" s="710"/>
      <c r="E562" s="710"/>
      <c r="F562" s="710"/>
      <c r="G562" s="710"/>
      <c r="H562" s="710"/>
      <c r="I562" s="710"/>
      <c r="J562" s="710"/>
      <c r="L562" s="20"/>
    </row>
    <row r="563" spans="1:12" s="5" customFormat="1" ht="19.5" customHeight="1">
      <c r="A563" s="678" t="s">
        <v>41</v>
      </c>
      <c r="B563" s="729"/>
      <c r="C563" s="729"/>
      <c r="D563" s="729"/>
      <c r="E563" s="729"/>
      <c r="F563" s="729"/>
      <c r="G563" s="729"/>
      <c r="H563" s="729"/>
      <c r="I563" s="729"/>
      <c r="J563" s="729"/>
      <c r="L563" s="20"/>
    </row>
    <row r="564" spans="1:12" s="5" customFormat="1" ht="19.5" customHeight="1">
      <c r="A564" s="678" t="s">
        <v>42</v>
      </c>
      <c r="B564" s="729"/>
      <c r="C564" s="729"/>
      <c r="D564" s="729"/>
      <c r="E564" s="729"/>
      <c r="F564" s="729"/>
      <c r="G564" s="729"/>
      <c r="H564" s="729"/>
      <c r="I564" s="729"/>
      <c r="J564" s="729"/>
      <c r="L564" s="20"/>
    </row>
    <row r="565" spans="1:12" s="5" customFormat="1" ht="19.5" customHeight="1">
      <c r="A565" s="678" t="s">
        <v>43</v>
      </c>
      <c r="B565" s="729"/>
      <c r="C565" s="729"/>
      <c r="D565" s="729"/>
      <c r="E565" s="729"/>
      <c r="F565" s="729"/>
      <c r="G565" s="729"/>
      <c r="H565" s="729"/>
      <c r="I565" s="729"/>
      <c r="J565" s="729"/>
      <c r="L565" s="20"/>
    </row>
    <row r="566" spans="1:12" s="9" customFormat="1" ht="28.5" customHeight="1">
      <c r="A566" s="43"/>
      <c r="B566" s="44"/>
      <c r="C566" s="44"/>
      <c r="D566" s="44"/>
      <c r="E566" s="44"/>
      <c r="F566" s="44"/>
      <c r="G566" s="44"/>
      <c r="H566" s="44"/>
      <c r="I566" s="44"/>
      <c r="J566" s="44"/>
      <c r="L566" s="534"/>
    </row>
    <row r="567" spans="1:12" s="5" customFormat="1" ht="19.5" customHeight="1">
      <c r="A567" s="703" t="s">
        <v>97</v>
      </c>
      <c r="B567" s="703" t="s">
        <v>187</v>
      </c>
      <c r="C567" s="703" t="s">
        <v>188</v>
      </c>
      <c r="D567" s="703"/>
      <c r="E567" s="704" t="s">
        <v>216</v>
      </c>
      <c r="F567" s="681" t="s">
        <v>213</v>
      </c>
      <c r="G567" s="681" t="s">
        <v>170</v>
      </c>
      <c r="H567" s="715" t="s">
        <v>214</v>
      </c>
      <c r="I567" s="713" t="s">
        <v>215</v>
      </c>
      <c r="J567" s="658" t="s">
        <v>172</v>
      </c>
      <c r="L567" s="20"/>
    </row>
    <row r="568" spans="1:12" s="5" customFormat="1" ht="15">
      <c r="A568" s="681"/>
      <c r="B568" s="681"/>
      <c r="C568" s="36" t="s">
        <v>191</v>
      </c>
      <c r="D568" s="36" t="s">
        <v>192</v>
      </c>
      <c r="E568" s="679"/>
      <c r="F568" s="682"/>
      <c r="G568" s="682"/>
      <c r="H568" s="716"/>
      <c r="I568" s="714"/>
      <c r="J568" s="659"/>
      <c r="L568" s="20"/>
    </row>
    <row r="569" spans="1:12" s="5" customFormat="1" ht="15">
      <c r="A569" s="679" t="s">
        <v>133</v>
      </c>
      <c r="B569" s="10">
        <v>16</v>
      </c>
      <c r="C569" s="10">
        <v>52</v>
      </c>
      <c r="D569" s="4"/>
      <c r="E569" s="11" t="s">
        <v>35</v>
      </c>
      <c r="F569" s="10" t="s">
        <v>224</v>
      </c>
      <c r="G569" s="10">
        <v>2</v>
      </c>
      <c r="H569" s="17">
        <v>57.533298558568795</v>
      </c>
      <c r="I569" s="77">
        <v>34.51997913514128</v>
      </c>
      <c r="J569" s="17">
        <f>H569*75</f>
        <v>4314.99739189266</v>
      </c>
      <c r="L569" s="20"/>
    </row>
    <row r="570" spans="1:12" s="5" customFormat="1" ht="15">
      <c r="A570" s="758"/>
      <c r="B570" s="4"/>
      <c r="C570" s="10">
        <v>72</v>
      </c>
      <c r="D570" s="4"/>
      <c r="E570" s="11" t="s">
        <v>99</v>
      </c>
      <c r="F570" s="10" t="s">
        <v>36</v>
      </c>
      <c r="G570" s="10"/>
      <c r="H570" s="17">
        <v>0</v>
      </c>
      <c r="I570" s="77">
        <v>0</v>
      </c>
      <c r="J570" s="17">
        <v>0</v>
      </c>
      <c r="L570" s="20"/>
    </row>
    <row r="571" spans="1:12" s="5" customFormat="1" ht="15">
      <c r="A571" s="758"/>
      <c r="B571" s="4"/>
      <c r="C571" s="10">
        <v>73</v>
      </c>
      <c r="D571" s="4"/>
      <c r="E571" s="11" t="s">
        <v>37</v>
      </c>
      <c r="F571" s="10" t="s">
        <v>36</v>
      </c>
      <c r="G571" s="10"/>
      <c r="H571" s="17">
        <v>0</v>
      </c>
      <c r="I571" s="77">
        <v>0</v>
      </c>
      <c r="J571" s="17">
        <v>0</v>
      </c>
      <c r="L571" s="20"/>
    </row>
    <row r="572" spans="1:12" s="5" customFormat="1" ht="15">
      <c r="A572" s="758"/>
      <c r="B572" s="4"/>
      <c r="C572" s="10">
        <v>81</v>
      </c>
      <c r="D572" s="4"/>
      <c r="E572" s="11" t="s">
        <v>38</v>
      </c>
      <c r="F572" s="10" t="s">
        <v>246</v>
      </c>
      <c r="G572" s="10">
        <v>3</v>
      </c>
      <c r="H572" s="17">
        <v>44.807800565003845</v>
      </c>
      <c r="I572" s="77">
        <v>35.47284211396138</v>
      </c>
      <c r="J572" s="17">
        <f>H572*75</f>
        <v>3360.585042375288</v>
      </c>
      <c r="L572" s="20"/>
    </row>
    <row r="573" spans="1:12" s="5" customFormat="1" ht="15">
      <c r="A573" s="680"/>
      <c r="B573" s="4"/>
      <c r="C573" s="10">
        <v>187</v>
      </c>
      <c r="D573" s="4"/>
      <c r="E573" s="11" t="s">
        <v>39</v>
      </c>
      <c r="F573" s="10" t="s">
        <v>246</v>
      </c>
      <c r="G573" s="10">
        <v>2</v>
      </c>
      <c r="H573" s="17">
        <v>12.487927819983783</v>
      </c>
      <c r="I573" s="77">
        <v>9.265236769665387</v>
      </c>
      <c r="J573" s="17">
        <f>H573*75</f>
        <v>936.5945864987838</v>
      </c>
      <c r="L573" s="20"/>
    </row>
    <row r="574" spans="1:12" s="5" customFormat="1" ht="15.75">
      <c r="A574" s="691" t="s">
        <v>242</v>
      </c>
      <c r="B574" s="691"/>
      <c r="C574" s="691"/>
      <c r="D574" s="691"/>
      <c r="E574" s="691"/>
      <c r="F574" s="691"/>
      <c r="G574" s="691"/>
      <c r="H574" s="691"/>
      <c r="I574" s="691"/>
      <c r="J574" s="31">
        <f>SUM(J569:J573)</f>
        <v>8612.177020766732</v>
      </c>
      <c r="L574" s="20"/>
    </row>
    <row r="575" spans="9:12" s="5" customFormat="1" ht="15">
      <c r="I575" s="40"/>
      <c r="L575" s="20"/>
    </row>
    <row r="576" spans="1:12" s="5" customFormat="1" ht="27" customHeight="1">
      <c r="A576" s="710" t="s">
        <v>249</v>
      </c>
      <c r="B576" s="710"/>
      <c r="C576" s="710"/>
      <c r="D576" s="710"/>
      <c r="E576" s="710"/>
      <c r="F576" s="710"/>
      <c r="G576" s="710"/>
      <c r="H576" s="710"/>
      <c r="I576" s="710"/>
      <c r="J576" s="710"/>
      <c r="L576" s="20"/>
    </row>
    <row r="577" spans="1:12" s="5" customFormat="1" ht="19.5" customHeight="1">
      <c r="A577" s="678" t="s">
        <v>41</v>
      </c>
      <c r="B577" s="729"/>
      <c r="C577" s="729"/>
      <c r="D577" s="729"/>
      <c r="E577" s="729"/>
      <c r="F577" s="729"/>
      <c r="G577" s="729"/>
      <c r="H577" s="729"/>
      <c r="I577" s="729"/>
      <c r="J577" s="729"/>
      <c r="L577" s="20"/>
    </row>
    <row r="578" spans="1:12" s="5" customFormat="1" ht="19.5" customHeight="1">
      <c r="A578" s="678" t="s">
        <v>42</v>
      </c>
      <c r="B578" s="729"/>
      <c r="C578" s="729"/>
      <c r="D578" s="729"/>
      <c r="E578" s="729"/>
      <c r="F578" s="729"/>
      <c r="G578" s="729"/>
      <c r="H578" s="729"/>
      <c r="I578" s="729"/>
      <c r="J578" s="729"/>
      <c r="L578" s="20"/>
    </row>
    <row r="579" spans="1:12" s="5" customFormat="1" ht="15.75">
      <c r="A579" s="678" t="s">
        <v>496</v>
      </c>
      <c r="B579" s="729"/>
      <c r="C579" s="729"/>
      <c r="D579" s="729"/>
      <c r="E579" s="729"/>
      <c r="F579" s="729"/>
      <c r="G579" s="729"/>
      <c r="H579" s="729"/>
      <c r="I579" s="729"/>
      <c r="J579" s="729"/>
      <c r="L579" s="20"/>
    </row>
    <row r="580" spans="1:10" ht="24" customHeight="1">
      <c r="A580" s="43"/>
      <c r="B580" s="44"/>
      <c r="C580" s="44"/>
      <c r="D580" s="44"/>
      <c r="E580" s="44"/>
      <c r="F580" s="44"/>
      <c r="G580" s="44"/>
      <c r="H580" s="44"/>
      <c r="I580" s="60"/>
      <c r="J580" s="44"/>
    </row>
    <row r="581" spans="1:12" s="5" customFormat="1" ht="33" customHeight="1">
      <c r="A581" s="681" t="s">
        <v>97</v>
      </c>
      <c r="B581" s="681" t="s">
        <v>187</v>
      </c>
      <c r="C581" s="668" t="s">
        <v>188</v>
      </c>
      <c r="D581" s="669"/>
      <c r="E581" s="679" t="s">
        <v>189</v>
      </c>
      <c r="F581" s="666" t="s">
        <v>169</v>
      </c>
      <c r="G581" s="681" t="s">
        <v>170</v>
      </c>
      <c r="H581" s="676" t="s">
        <v>171</v>
      </c>
      <c r="I581" s="72" t="s">
        <v>190</v>
      </c>
      <c r="J581" s="776" t="s">
        <v>281</v>
      </c>
      <c r="L581" s="20"/>
    </row>
    <row r="582" spans="1:12" s="5" customFormat="1" ht="15">
      <c r="A582" s="682"/>
      <c r="B582" s="682"/>
      <c r="C582" s="4" t="s">
        <v>191</v>
      </c>
      <c r="D582" s="4" t="s">
        <v>192</v>
      </c>
      <c r="E582" s="680"/>
      <c r="F582" s="667"/>
      <c r="G582" s="682"/>
      <c r="H582" s="677"/>
      <c r="I582" s="70" t="s">
        <v>193</v>
      </c>
      <c r="J582" s="777"/>
      <c r="L582" s="20"/>
    </row>
    <row r="583" spans="1:12" s="5" customFormat="1" ht="30">
      <c r="A583" s="126" t="s">
        <v>133</v>
      </c>
      <c r="B583" s="29">
        <v>16</v>
      </c>
      <c r="C583" s="29">
        <v>70</v>
      </c>
      <c r="D583" s="49"/>
      <c r="E583" s="49">
        <v>2</v>
      </c>
      <c r="F583" s="29" t="s">
        <v>232</v>
      </c>
      <c r="G583" s="49" t="s">
        <v>173</v>
      </c>
      <c r="H583" s="30" t="s">
        <v>400</v>
      </c>
      <c r="I583" s="133">
        <v>39094.05</v>
      </c>
      <c r="J583" s="56">
        <f>I583*100</f>
        <v>3909405.0000000005</v>
      </c>
      <c r="K583" s="20"/>
      <c r="L583" s="20"/>
    </row>
    <row r="584" spans="1:13" s="5" customFormat="1" ht="30.75" customHeight="1">
      <c r="A584" s="822" t="s">
        <v>276</v>
      </c>
      <c r="B584" s="823"/>
      <c r="C584" s="823"/>
      <c r="D584" s="823"/>
      <c r="E584" s="823"/>
      <c r="F584" s="823"/>
      <c r="G584" s="823"/>
      <c r="H584" s="823"/>
      <c r="I584" s="824"/>
      <c r="J584" s="503">
        <v>3961076.43</v>
      </c>
      <c r="K584" s="20">
        <f>J584-3775876.15</f>
        <v>185200.28000000026</v>
      </c>
      <c r="L584" s="20"/>
      <c r="M584" s="646">
        <f>3961076.43-J584</f>
        <v>0</v>
      </c>
    </row>
    <row r="585" spans="1:12" s="5" customFormat="1" ht="30.75" customHeight="1">
      <c r="A585" s="827" t="s">
        <v>242</v>
      </c>
      <c r="B585" s="828"/>
      <c r="C585" s="828"/>
      <c r="D585" s="828"/>
      <c r="E585" s="828"/>
      <c r="F585" s="828"/>
      <c r="G585" s="828"/>
      <c r="H585" s="828"/>
      <c r="I585" s="829"/>
      <c r="J585" s="503">
        <f>SUM(J583:J584)</f>
        <v>7870481.430000001</v>
      </c>
      <c r="K585" s="400">
        <f>J585-7685281.15</f>
        <v>185200.28000000026</v>
      </c>
      <c r="L585" s="20"/>
    </row>
    <row r="586" spans="1:10" ht="60.75" customHeight="1">
      <c r="A586" s="673" t="s">
        <v>634</v>
      </c>
      <c r="B586" s="673"/>
      <c r="C586" s="673"/>
      <c r="D586" s="673"/>
      <c r="E586" s="673"/>
      <c r="F586" s="673"/>
      <c r="G586" s="673"/>
      <c r="H586" s="673"/>
      <c r="I586" s="673"/>
      <c r="J586" s="673"/>
    </row>
    <row r="587" spans="1:12" s="5" customFormat="1" ht="30" customHeight="1">
      <c r="A587" s="710" t="s">
        <v>247</v>
      </c>
      <c r="B587" s="710"/>
      <c r="C587" s="710"/>
      <c r="D587" s="710"/>
      <c r="E587" s="710"/>
      <c r="F587" s="710"/>
      <c r="G587" s="710"/>
      <c r="H587" s="710"/>
      <c r="I587" s="710"/>
      <c r="J587" s="710"/>
      <c r="L587" s="20"/>
    </row>
    <row r="588" spans="1:12" s="5" customFormat="1" ht="19.5" customHeight="1">
      <c r="A588" s="678" t="s">
        <v>570</v>
      </c>
      <c r="B588" s="729"/>
      <c r="C588" s="729"/>
      <c r="D588" s="729"/>
      <c r="E588" s="729"/>
      <c r="F588" s="729"/>
      <c r="G588" s="729"/>
      <c r="H588" s="729"/>
      <c r="I588" s="729"/>
      <c r="J588" s="729"/>
      <c r="L588" s="20"/>
    </row>
    <row r="589" spans="1:12" s="5" customFormat="1" ht="19.5" customHeight="1">
      <c r="A589" s="678" t="s">
        <v>45</v>
      </c>
      <c r="B589" s="729"/>
      <c r="C589" s="729"/>
      <c r="D589" s="729"/>
      <c r="E589" s="729"/>
      <c r="F589" s="729"/>
      <c r="G589" s="729"/>
      <c r="H589" s="729"/>
      <c r="I589" s="729"/>
      <c r="J589" s="729"/>
      <c r="L589" s="20"/>
    </row>
    <row r="590" spans="1:12" s="5" customFormat="1" ht="19.5" customHeight="1">
      <c r="A590" s="678" t="s">
        <v>421</v>
      </c>
      <c r="B590" s="729"/>
      <c r="C590" s="729"/>
      <c r="D590" s="729"/>
      <c r="E590" s="729"/>
      <c r="F590" s="729"/>
      <c r="G590" s="729"/>
      <c r="H590" s="729"/>
      <c r="I590" s="729"/>
      <c r="J590" s="729"/>
      <c r="L590" s="20"/>
    </row>
    <row r="591" spans="1:12" s="9" customFormat="1" ht="28.5" customHeight="1">
      <c r="A591" s="43"/>
      <c r="B591" s="44"/>
      <c r="C591" s="44"/>
      <c r="D591" s="44"/>
      <c r="E591" s="44"/>
      <c r="F591" s="44"/>
      <c r="G591" s="44"/>
      <c r="H591" s="44"/>
      <c r="I591" s="44"/>
      <c r="J591" s="44"/>
      <c r="L591" s="534"/>
    </row>
    <row r="592" spans="1:12" s="5" customFormat="1" ht="19.5" customHeight="1">
      <c r="A592" s="703" t="s">
        <v>97</v>
      </c>
      <c r="B592" s="703" t="s">
        <v>187</v>
      </c>
      <c r="C592" s="703" t="s">
        <v>188</v>
      </c>
      <c r="D592" s="703"/>
      <c r="E592" s="825" t="s">
        <v>216</v>
      </c>
      <c r="F592" s="681" t="s">
        <v>213</v>
      </c>
      <c r="G592" s="681" t="s">
        <v>170</v>
      </c>
      <c r="H592" s="715" t="s">
        <v>214</v>
      </c>
      <c r="I592" s="713" t="s">
        <v>215</v>
      </c>
      <c r="J592" s="658" t="s">
        <v>172</v>
      </c>
      <c r="L592" s="20"/>
    </row>
    <row r="593" spans="1:12" s="5" customFormat="1" ht="15">
      <c r="A593" s="681"/>
      <c r="B593" s="681"/>
      <c r="C593" s="36" t="s">
        <v>191</v>
      </c>
      <c r="D593" s="36" t="s">
        <v>192</v>
      </c>
      <c r="E593" s="826"/>
      <c r="F593" s="682"/>
      <c r="G593" s="682"/>
      <c r="H593" s="716"/>
      <c r="I593" s="714"/>
      <c r="J593" s="659"/>
      <c r="L593" s="20"/>
    </row>
    <row r="594" spans="1:12" s="5" customFormat="1" ht="36" customHeight="1">
      <c r="A594" s="32" t="s">
        <v>134</v>
      </c>
      <c r="B594" s="10">
        <v>15</v>
      </c>
      <c r="C594" s="10">
        <v>591</v>
      </c>
      <c r="D594" s="4"/>
      <c r="E594" s="389" t="s">
        <v>423</v>
      </c>
      <c r="F594" s="10" t="s">
        <v>403</v>
      </c>
      <c r="G594" s="10">
        <v>1</v>
      </c>
      <c r="H594" s="17"/>
      <c r="I594" s="86"/>
      <c r="J594" s="4">
        <v>0</v>
      </c>
      <c r="L594" s="20"/>
    </row>
    <row r="595" spans="1:12" s="5" customFormat="1" ht="30" customHeight="1">
      <c r="A595" s="710" t="s">
        <v>247</v>
      </c>
      <c r="B595" s="710"/>
      <c r="C595" s="710"/>
      <c r="D595" s="710"/>
      <c r="E595" s="710"/>
      <c r="F595" s="710"/>
      <c r="G595" s="710"/>
      <c r="H595" s="710"/>
      <c r="I595" s="710"/>
      <c r="J595" s="710"/>
      <c r="L595" s="20"/>
    </row>
    <row r="596" spans="1:12" s="5" customFormat="1" ht="19.5" customHeight="1">
      <c r="A596" s="678" t="s">
        <v>571</v>
      </c>
      <c r="B596" s="729"/>
      <c r="C596" s="729"/>
      <c r="D596" s="729"/>
      <c r="E596" s="729"/>
      <c r="F596" s="729"/>
      <c r="G596" s="729"/>
      <c r="H596" s="729"/>
      <c r="I596" s="729"/>
      <c r="J596" s="729"/>
      <c r="L596" s="20"/>
    </row>
    <row r="597" spans="1:12" s="5" customFormat="1" ht="19.5" customHeight="1">
      <c r="A597" s="678" t="s">
        <v>45</v>
      </c>
      <c r="B597" s="729"/>
      <c r="C597" s="729"/>
      <c r="D597" s="729"/>
      <c r="E597" s="729"/>
      <c r="F597" s="729"/>
      <c r="G597" s="729"/>
      <c r="H597" s="729"/>
      <c r="I597" s="729"/>
      <c r="J597" s="729"/>
      <c r="L597" s="20"/>
    </row>
    <row r="598" spans="1:12" s="5" customFormat="1" ht="19.5" customHeight="1">
      <c r="A598" s="678" t="s">
        <v>421</v>
      </c>
      <c r="B598" s="729"/>
      <c r="C598" s="729"/>
      <c r="D598" s="729"/>
      <c r="E598" s="729"/>
      <c r="F598" s="729"/>
      <c r="G598" s="729"/>
      <c r="H598" s="729"/>
      <c r="I598" s="729"/>
      <c r="J598" s="729"/>
      <c r="L598" s="20"/>
    </row>
    <row r="599" spans="1:12" s="9" customFormat="1" ht="28.5" customHeight="1">
      <c r="A599" s="43"/>
      <c r="B599" s="44"/>
      <c r="C599" s="44"/>
      <c r="D599" s="44"/>
      <c r="E599" s="44"/>
      <c r="F599" s="44"/>
      <c r="G599" s="44"/>
      <c r="H599" s="44"/>
      <c r="I599" s="44"/>
      <c r="J599" s="44"/>
      <c r="L599" s="534"/>
    </row>
    <row r="600" spans="1:12" s="5" customFormat="1" ht="19.5" customHeight="1">
      <c r="A600" s="703" t="s">
        <v>97</v>
      </c>
      <c r="B600" s="703" t="s">
        <v>187</v>
      </c>
      <c r="C600" s="703" t="s">
        <v>188</v>
      </c>
      <c r="D600" s="703"/>
      <c r="E600" s="825" t="s">
        <v>216</v>
      </c>
      <c r="F600" s="681" t="s">
        <v>213</v>
      </c>
      <c r="G600" s="681" t="s">
        <v>170</v>
      </c>
      <c r="H600" s="715" t="s">
        <v>214</v>
      </c>
      <c r="I600" s="713" t="s">
        <v>215</v>
      </c>
      <c r="J600" s="658" t="s">
        <v>172</v>
      </c>
      <c r="L600" s="20"/>
    </row>
    <row r="601" spans="1:12" s="5" customFormat="1" ht="21" customHeight="1">
      <c r="A601" s="681"/>
      <c r="B601" s="681"/>
      <c r="C601" s="36" t="s">
        <v>191</v>
      </c>
      <c r="D601" s="36" t="s">
        <v>192</v>
      </c>
      <c r="E601" s="826"/>
      <c r="F601" s="682"/>
      <c r="G601" s="682"/>
      <c r="H601" s="716"/>
      <c r="I601" s="714"/>
      <c r="J601" s="659"/>
      <c r="L601" s="20"/>
    </row>
    <row r="602" spans="1:12" s="5" customFormat="1" ht="15" customHeight="1">
      <c r="A602" s="679" t="s">
        <v>134</v>
      </c>
      <c r="B602" s="10">
        <v>15</v>
      </c>
      <c r="C602" s="10">
        <v>42</v>
      </c>
      <c r="D602" s="4"/>
      <c r="E602" s="11" t="s">
        <v>44</v>
      </c>
      <c r="F602" s="10" t="s">
        <v>225</v>
      </c>
      <c r="G602" s="10">
        <v>1</v>
      </c>
      <c r="H602" s="17">
        <f>42178/1936.27</f>
        <v>21.78311908979636</v>
      </c>
      <c r="I602" s="86">
        <f>27037/1936.27</f>
        <v>13.963445180682447</v>
      </c>
      <c r="J602" s="4">
        <v>0</v>
      </c>
      <c r="L602" s="20"/>
    </row>
    <row r="603" spans="1:12" s="5" customFormat="1" ht="15" customHeight="1">
      <c r="A603" s="758"/>
      <c r="B603" s="4"/>
      <c r="C603" s="10">
        <v>648</v>
      </c>
      <c r="D603" s="4"/>
      <c r="E603" s="11" t="s">
        <v>100</v>
      </c>
      <c r="F603" s="10" t="s">
        <v>224</v>
      </c>
      <c r="G603" s="10">
        <v>1</v>
      </c>
      <c r="H603" s="18">
        <v>45.55</v>
      </c>
      <c r="I603" s="86">
        <v>26.32</v>
      </c>
      <c r="J603" s="4">
        <v>0</v>
      </c>
      <c r="L603" s="20"/>
    </row>
    <row r="604" spans="1:12" s="5" customFormat="1" ht="15" customHeight="1">
      <c r="A604" s="758"/>
      <c r="B604" s="4"/>
      <c r="C604" s="10">
        <v>857</v>
      </c>
      <c r="D604" s="4"/>
      <c r="E604" s="11"/>
      <c r="F604" s="10"/>
      <c r="G604" s="10"/>
      <c r="H604" s="18"/>
      <c r="I604" s="86"/>
      <c r="J604" s="4">
        <v>0</v>
      </c>
      <c r="L604" s="20"/>
    </row>
    <row r="605" spans="1:10" ht="15">
      <c r="A605" s="680"/>
      <c r="B605" s="4"/>
      <c r="C605" s="10">
        <v>856</v>
      </c>
      <c r="D605" s="4"/>
      <c r="E605" s="11" t="s">
        <v>29</v>
      </c>
      <c r="F605" s="4" t="s">
        <v>224</v>
      </c>
      <c r="G605" s="4">
        <v>1</v>
      </c>
      <c r="H605" s="113">
        <v>8.6</v>
      </c>
      <c r="I605" s="114">
        <v>4.97</v>
      </c>
      <c r="J605" s="4">
        <v>0</v>
      </c>
    </row>
    <row r="606" spans="1:12" s="5" customFormat="1" ht="26.25">
      <c r="A606" s="710" t="s">
        <v>247</v>
      </c>
      <c r="B606" s="710"/>
      <c r="C606" s="710"/>
      <c r="D606" s="710"/>
      <c r="E606" s="710"/>
      <c r="F606" s="710"/>
      <c r="G606" s="710"/>
      <c r="H606" s="710"/>
      <c r="I606" s="710"/>
      <c r="J606" s="710"/>
      <c r="L606" s="20"/>
    </row>
    <row r="607" spans="1:12" s="5" customFormat="1" ht="15.75">
      <c r="A607" s="678" t="s">
        <v>422</v>
      </c>
      <c r="B607" s="729"/>
      <c r="C607" s="729"/>
      <c r="D607" s="729"/>
      <c r="E607" s="729"/>
      <c r="F607" s="729"/>
      <c r="G607" s="729"/>
      <c r="H607" s="729"/>
      <c r="I607" s="729"/>
      <c r="J607" s="729"/>
      <c r="L607" s="20"/>
    </row>
    <row r="608" spans="1:12" s="5" customFormat="1" ht="15.75">
      <c r="A608" s="678" t="s">
        <v>277</v>
      </c>
      <c r="B608" s="729"/>
      <c r="C608" s="729"/>
      <c r="D608" s="729"/>
      <c r="E608" s="729"/>
      <c r="F608" s="729"/>
      <c r="G608" s="729"/>
      <c r="H608" s="729"/>
      <c r="I608" s="729"/>
      <c r="J608" s="729"/>
      <c r="L608" s="20"/>
    </row>
    <row r="609" spans="1:12" s="9" customFormat="1" ht="16.5" customHeight="1">
      <c r="A609" s="678" t="s">
        <v>421</v>
      </c>
      <c r="B609" s="729"/>
      <c r="C609" s="729"/>
      <c r="D609" s="729"/>
      <c r="E609" s="729"/>
      <c r="F609" s="729"/>
      <c r="G609" s="729"/>
      <c r="H609" s="729"/>
      <c r="I609" s="729"/>
      <c r="J609" s="729"/>
      <c r="L609" s="534"/>
    </row>
    <row r="610" spans="1:12" s="5" customFormat="1" ht="19.5" customHeight="1">
      <c r="A610" s="703" t="s">
        <v>97</v>
      </c>
      <c r="B610" s="703" t="s">
        <v>187</v>
      </c>
      <c r="C610" s="703" t="s">
        <v>188</v>
      </c>
      <c r="D610" s="703"/>
      <c r="E610" s="704" t="s">
        <v>216</v>
      </c>
      <c r="F610" s="703" t="s">
        <v>213</v>
      </c>
      <c r="G610" s="703" t="s">
        <v>170</v>
      </c>
      <c r="H610" s="834" t="s">
        <v>214</v>
      </c>
      <c r="I610" s="867" t="s">
        <v>215</v>
      </c>
      <c r="J610" s="732" t="s">
        <v>172</v>
      </c>
      <c r="L610" s="20"/>
    </row>
    <row r="611" spans="1:12" s="5" customFormat="1" ht="15">
      <c r="A611" s="703"/>
      <c r="B611" s="703"/>
      <c r="C611" s="4" t="s">
        <v>191</v>
      </c>
      <c r="D611" s="4" t="s">
        <v>192</v>
      </c>
      <c r="E611" s="704"/>
      <c r="F611" s="703"/>
      <c r="G611" s="703"/>
      <c r="H611" s="834"/>
      <c r="I611" s="867"/>
      <c r="J611" s="732"/>
      <c r="L611" s="20"/>
    </row>
    <row r="612" spans="1:12" s="5" customFormat="1" ht="15">
      <c r="A612" s="778" t="s">
        <v>424</v>
      </c>
      <c r="B612" s="703">
        <v>15</v>
      </c>
      <c r="C612" s="4">
        <v>43</v>
      </c>
      <c r="D612" s="4"/>
      <c r="E612" s="390" t="s">
        <v>425</v>
      </c>
      <c r="F612" s="27" t="s">
        <v>403</v>
      </c>
      <c r="G612" s="27"/>
      <c r="H612" s="391"/>
      <c r="I612" s="392"/>
      <c r="J612" s="377">
        <v>0</v>
      </c>
      <c r="L612" s="20"/>
    </row>
    <row r="613" spans="1:12" s="5" customFormat="1" ht="15">
      <c r="A613" s="778"/>
      <c r="B613" s="703"/>
      <c r="C613" s="4">
        <v>44</v>
      </c>
      <c r="D613" s="4"/>
      <c r="E613" s="32" t="s">
        <v>426</v>
      </c>
      <c r="F613" s="27" t="s">
        <v>427</v>
      </c>
      <c r="G613" s="27"/>
      <c r="H613" s="391"/>
      <c r="I613" s="392"/>
      <c r="J613" s="377">
        <v>0</v>
      </c>
      <c r="L613" s="20"/>
    </row>
    <row r="614" spans="1:12" s="5" customFormat="1" ht="15">
      <c r="A614" s="778"/>
      <c r="B614" s="703"/>
      <c r="C614" s="4">
        <v>265</v>
      </c>
      <c r="D614" s="4"/>
      <c r="E614" s="32" t="s">
        <v>428</v>
      </c>
      <c r="F614" s="27"/>
      <c r="G614" s="27"/>
      <c r="H614" s="391">
        <v>2.61</v>
      </c>
      <c r="I614" s="392">
        <v>1.51</v>
      </c>
      <c r="J614" s="377">
        <v>0</v>
      </c>
      <c r="L614" s="20"/>
    </row>
    <row r="615" spans="1:12" s="5" customFormat="1" ht="15">
      <c r="A615" s="778"/>
      <c r="B615" s="703"/>
      <c r="C615" s="4">
        <v>593</v>
      </c>
      <c r="D615" s="4"/>
      <c r="E615" s="32" t="s">
        <v>429</v>
      </c>
      <c r="F615" s="27"/>
      <c r="G615" s="27"/>
      <c r="H615" s="391">
        <v>0.1</v>
      </c>
      <c r="I615" s="392">
        <v>0.06</v>
      </c>
      <c r="J615" s="377">
        <v>0</v>
      </c>
      <c r="L615" s="20"/>
    </row>
    <row r="616" spans="1:12" s="5" customFormat="1" ht="15">
      <c r="A616" s="778"/>
      <c r="B616" s="703"/>
      <c r="C616" s="4">
        <v>859</v>
      </c>
      <c r="D616" s="4"/>
      <c r="E616" s="32" t="s">
        <v>430</v>
      </c>
      <c r="F616" s="27"/>
      <c r="G616" s="27"/>
      <c r="H616" s="391">
        <v>1.41</v>
      </c>
      <c r="I616" s="392">
        <v>0.83</v>
      </c>
      <c r="J616" s="377">
        <v>0</v>
      </c>
      <c r="L616" s="20"/>
    </row>
    <row r="617" spans="1:12" s="5" customFormat="1" ht="15">
      <c r="A617" s="778"/>
      <c r="B617" s="703"/>
      <c r="C617" s="4">
        <v>860</v>
      </c>
      <c r="D617" s="4"/>
      <c r="E617" s="32" t="s">
        <v>431</v>
      </c>
      <c r="F617" s="27"/>
      <c r="G617" s="27"/>
      <c r="H617" s="391">
        <v>1.61</v>
      </c>
      <c r="I617" s="392">
        <v>0.95</v>
      </c>
      <c r="J617" s="377">
        <v>0</v>
      </c>
      <c r="L617" s="20"/>
    </row>
    <row r="618" spans="1:12" s="5" customFormat="1" ht="15">
      <c r="A618" s="778"/>
      <c r="B618" s="703"/>
      <c r="C618" s="4">
        <v>867</v>
      </c>
      <c r="D618" s="4"/>
      <c r="E618" s="32" t="s">
        <v>432</v>
      </c>
      <c r="F618" s="27"/>
      <c r="G618" s="27"/>
      <c r="H618" s="391">
        <v>0.78</v>
      </c>
      <c r="I618" s="392">
        <v>0.5</v>
      </c>
      <c r="J618" s="377">
        <v>0</v>
      </c>
      <c r="L618" s="20"/>
    </row>
    <row r="619" spans="1:12" s="5" customFormat="1" ht="15">
      <c r="A619" s="778"/>
      <c r="B619" s="703"/>
      <c r="C619" s="4"/>
      <c r="D619" s="4"/>
      <c r="E619" s="32"/>
      <c r="F619" s="27"/>
      <c r="G619" s="27"/>
      <c r="H619" s="391"/>
      <c r="I619" s="392"/>
      <c r="J619" s="377">
        <v>0</v>
      </c>
      <c r="L619" s="20"/>
    </row>
    <row r="620" spans="1:12" s="5" customFormat="1" ht="15">
      <c r="A620" s="342"/>
      <c r="B620" s="154"/>
      <c r="C620" s="3"/>
      <c r="D620" s="3"/>
      <c r="E620" s="131"/>
      <c r="F620" s="154"/>
      <c r="G620" s="154"/>
      <c r="H620" s="393"/>
      <c r="I620" s="394"/>
      <c r="J620" s="395"/>
      <c r="L620" s="20"/>
    </row>
    <row r="621" spans="6:10" ht="12.75">
      <c r="F621"/>
      <c r="H621"/>
      <c r="I621" s="74"/>
      <c r="J621"/>
    </row>
    <row r="622" spans="1:12" s="5" customFormat="1" ht="23.25" customHeight="1">
      <c r="A622" s="710" t="s">
        <v>249</v>
      </c>
      <c r="B622" s="710"/>
      <c r="C622" s="710"/>
      <c r="D622" s="710"/>
      <c r="E622" s="710"/>
      <c r="F622" s="710"/>
      <c r="G622" s="710"/>
      <c r="H622" s="710"/>
      <c r="I622" s="710"/>
      <c r="J622" s="710"/>
      <c r="L622" s="20"/>
    </row>
    <row r="623" spans="1:12" s="5" customFormat="1" ht="15.75">
      <c r="A623" s="678" t="s">
        <v>46</v>
      </c>
      <c r="B623" s="729"/>
      <c r="C623" s="729"/>
      <c r="D623" s="729"/>
      <c r="E623" s="729"/>
      <c r="F623" s="729"/>
      <c r="G623" s="729"/>
      <c r="H623" s="729"/>
      <c r="I623" s="729"/>
      <c r="J623" s="729"/>
      <c r="L623" s="20"/>
    </row>
    <row r="624" spans="1:12" s="5" customFormat="1" ht="15.75">
      <c r="A624" s="678" t="s">
        <v>47</v>
      </c>
      <c r="B624" s="729"/>
      <c r="C624" s="729"/>
      <c r="D624" s="729"/>
      <c r="E624" s="729"/>
      <c r="F624" s="729"/>
      <c r="G624" s="729"/>
      <c r="H624" s="729"/>
      <c r="I624" s="729"/>
      <c r="J624" s="729"/>
      <c r="L624" s="20"/>
    </row>
    <row r="625" spans="1:12" s="5" customFormat="1" ht="24" customHeight="1">
      <c r="A625" s="678" t="s">
        <v>51</v>
      </c>
      <c r="B625" s="729"/>
      <c r="C625" s="729"/>
      <c r="D625" s="729"/>
      <c r="E625" s="729"/>
      <c r="F625" s="729"/>
      <c r="G625" s="729"/>
      <c r="H625" s="729"/>
      <c r="I625" s="729"/>
      <c r="J625" s="729"/>
      <c r="L625" s="20"/>
    </row>
    <row r="626" spans="1:12" s="5" customFormat="1" ht="20.25" customHeight="1">
      <c r="A626" s="681" t="s">
        <v>97</v>
      </c>
      <c r="B626" s="681" t="s">
        <v>187</v>
      </c>
      <c r="C626" s="668" t="s">
        <v>188</v>
      </c>
      <c r="D626" s="669"/>
      <c r="E626" s="679" t="s">
        <v>189</v>
      </c>
      <c r="F626" s="681" t="s">
        <v>169</v>
      </c>
      <c r="G626" s="681" t="s">
        <v>170</v>
      </c>
      <c r="H626" s="676" t="s">
        <v>171</v>
      </c>
      <c r="I626" s="72" t="s">
        <v>190</v>
      </c>
      <c r="J626" s="776" t="s">
        <v>281</v>
      </c>
      <c r="L626" s="20"/>
    </row>
    <row r="627" spans="1:12" s="5" customFormat="1" ht="15">
      <c r="A627" s="682"/>
      <c r="B627" s="682"/>
      <c r="C627" s="4" t="s">
        <v>191</v>
      </c>
      <c r="D627" s="4" t="s">
        <v>192</v>
      </c>
      <c r="E627" s="680"/>
      <c r="F627" s="682"/>
      <c r="G627" s="682"/>
      <c r="H627" s="677"/>
      <c r="I627" s="70" t="s">
        <v>193</v>
      </c>
      <c r="J627" s="777"/>
      <c r="K627" s="400"/>
      <c r="L627" s="20"/>
    </row>
    <row r="628" spans="1:12" s="5" customFormat="1" ht="15">
      <c r="A628" s="679" t="s">
        <v>133</v>
      </c>
      <c r="B628" s="10">
        <v>15</v>
      </c>
      <c r="C628" s="10" t="s">
        <v>27</v>
      </c>
      <c r="D628" s="10"/>
      <c r="E628" s="10"/>
      <c r="F628" s="10" t="s">
        <v>232</v>
      </c>
      <c r="G628" s="10" t="s">
        <v>173</v>
      </c>
      <c r="H628" s="11" t="s">
        <v>48</v>
      </c>
      <c r="I628" s="76" t="s">
        <v>73</v>
      </c>
      <c r="J628" s="118">
        <v>4026504.57</v>
      </c>
      <c r="K628" s="400"/>
      <c r="L628" s="20"/>
    </row>
    <row r="629" spans="1:12" s="5" customFormat="1" ht="15.75">
      <c r="A629" s="758"/>
      <c r="B629" s="692" t="s">
        <v>276</v>
      </c>
      <c r="C629" s="693"/>
      <c r="D629" s="693"/>
      <c r="E629" s="693"/>
      <c r="F629" s="693"/>
      <c r="G629" s="693"/>
      <c r="H629" s="693"/>
      <c r="I629" s="694"/>
      <c r="J629" s="502">
        <v>1622699.21</v>
      </c>
      <c r="L629" s="20"/>
    </row>
    <row r="630" spans="1:12" s="5" customFormat="1" ht="15">
      <c r="A630" s="758"/>
      <c r="B630" s="4" t="s">
        <v>444</v>
      </c>
      <c r="C630" s="10">
        <v>591</v>
      </c>
      <c r="D630" s="10"/>
      <c r="E630" s="10">
        <v>2</v>
      </c>
      <c r="F630" s="10" t="s">
        <v>232</v>
      </c>
      <c r="G630" s="10" t="s">
        <v>173</v>
      </c>
      <c r="H630" s="11" t="s">
        <v>433</v>
      </c>
      <c r="I630" s="86">
        <v>5645.13</v>
      </c>
      <c r="J630" s="119">
        <f>I630*100</f>
        <v>564513</v>
      </c>
      <c r="L630" s="20"/>
    </row>
    <row r="631" spans="1:12" s="5" customFormat="1" ht="15.75">
      <c r="A631" s="758"/>
      <c r="B631" s="692" t="s">
        <v>276</v>
      </c>
      <c r="C631" s="693"/>
      <c r="D631" s="693"/>
      <c r="E631" s="693"/>
      <c r="F631" s="693"/>
      <c r="G631" s="693"/>
      <c r="H631" s="693"/>
      <c r="I631" s="694"/>
      <c r="J631" s="411">
        <v>38600.96</v>
      </c>
      <c r="L631" s="20"/>
    </row>
    <row r="632" spans="1:12" s="46" customFormat="1" ht="15" customHeight="1">
      <c r="A632" s="680"/>
      <c r="B632" s="4" t="s">
        <v>434</v>
      </c>
      <c r="C632" s="10">
        <v>43</v>
      </c>
      <c r="D632" s="4"/>
      <c r="E632" s="4">
        <v>2</v>
      </c>
      <c r="F632" s="10" t="s">
        <v>236</v>
      </c>
      <c r="G632" s="10">
        <v>1</v>
      </c>
      <c r="H632" s="11" t="s">
        <v>435</v>
      </c>
      <c r="I632" s="86">
        <v>2166.01</v>
      </c>
      <c r="J632" s="119">
        <f>I632*100</f>
        <v>216601.00000000003</v>
      </c>
      <c r="K632" s="502"/>
      <c r="L632" s="401"/>
    </row>
    <row r="633" spans="1:12" s="46" customFormat="1" ht="22.5" customHeight="1">
      <c r="A633" s="691" t="s">
        <v>242</v>
      </c>
      <c r="B633" s="691"/>
      <c r="C633" s="691"/>
      <c r="D633" s="691"/>
      <c r="E633" s="691"/>
      <c r="F633" s="691"/>
      <c r="G633" s="691"/>
      <c r="H633" s="691"/>
      <c r="I633" s="691"/>
      <c r="J633" s="120">
        <f>SUM(J628:J632)</f>
        <v>6468918.739999999</v>
      </c>
      <c r="K633" s="502">
        <f>J633-6306348.18</f>
        <v>162570.5599999996</v>
      </c>
      <c r="L633" s="401"/>
    </row>
    <row r="634" spans="1:12" s="5" customFormat="1" ht="19.5" customHeight="1">
      <c r="A634" s="54"/>
      <c r="B634" s="54"/>
      <c r="C634" s="54"/>
      <c r="D634" s="54"/>
      <c r="E634" s="54"/>
      <c r="F634" s="54"/>
      <c r="G634" s="54"/>
      <c r="H634" s="54"/>
      <c r="I634" s="80"/>
      <c r="J634" s="55"/>
      <c r="L634" s="20"/>
    </row>
    <row r="635" spans="1:10" ht="69.75" customHeight="1">
      <c r="A635" s="779" t="s">
        <v>595</v>
      </c>
      <c r="B635" s="780"/>
      <c r="C635" s="780"/>
      <c r="D635" s="780"/>
      <c r="E635" s="780"/>
      <c r="F635" s="780"/>
      <c r="G635" s="780"/>
      <c r="H635" s="780"/>
      <c r="I635" s="780"/>
      <c r="J635" s="780"/>
    </row>
    <row r="636" spans="1:12" s="5" customFormat="1" ht="24.75" customHeight="1">
      <c r="A636" s="710" t="s">
        <v>249</v>
      </c>
      <c r="B636" s="710"/>
      <c r="C636" s="710"/>
      <c r="D636" s="710"/>
      <c r="E636" s="710"/>
      <c r="F636" s="710"/>
      <c r="G636" s="710"/>
      <c r="H636" s="710"/>
      <c r="I636" s="710"/>
      <c r="J636" s="710"/>
      <c r="L636" s="20"/>
    </row>
    <row r="637" spans="1:12" s="5" customFormat="1" ht="19.5" customHeight="1">
      <c r="A637" s="678" t="s">
        <v>28</v>
      </c>
      <c r="B637" s="729"/>
      <c r="C637" s="729"/>
      <c r="D637" s="729"/>
      <c r="E637" s="729"/>
      <c r="F637" s="729"/>
      <c r="G637" s="729"/>
      <c r="H637" s="729"/>
      <c r="I637" s="729"/>
      <c r="J637" s="729"/>
      <c r="L637" s="20"/>
    </row>
    <row r="638" spans="1:12" s="5" customFormat="1" ht="19.5" customHeight="1">
      <c r="A638" s="678" t="s">
        <v>619</v>
      </c>
      <c r="B638" s="729"/>
      <c r="C638" s="729"/>
      <c r="D638" s="729"/>
      <c r="E638" s="729"/>
      <c r="F638" s="729"/>
      <c r="G638" s="729"/>
      <c r="H638" s="729"/>
      <c r="I638" s="729"/>
      <c r="J638" s="729"/>
      <c r="L638" s="20"/>
    </row>
    <row r="639" spans="1:12" s="5" customFormat="1" ht="7.5" customHeight="1">
      <c r="A639" s="678"/>
      <c r="B639" s="729"/>
      <c r="C639" s="729"/>
      <c r="D639" s="729"/>
      <c r="E639" s="729"/>
      <c r="F639" s="729"/>
      <c r="G639" s="729"/>
      <c r="H639" s="729"/>
      <c r="I639" s="729"/>
      <c r="J639" s="729"/>
      <c r="L639" s="20"/>
    </row>
    <row r="640" spans="1:12" s="5" customFormat="1" ht="33" customHeight="1">
      <c r="A640" s="681" t="s">
        <v>97</v>
      </c>
      <c r="B640" s="681" t="s">
        <v>187</v>
      </c>
      <c r="C640" s="668" t="s">
        <v>188</v>
      </c>
      <c r="D640" s="669"/>
      <c r="E640" s="679" t="s">
        <v>189</v>
      </c>
      <c r="F640" s="681" t="s">
        <v>169</v>
      </c>
      <c r="G640" s="681" t="s">
        <v>170</v>
      </c>
      <c r="H640" s="676" t="s">
        <v>171</v>
      </c>
      <c r="I640" s="72" t="s">
        <v>190</v>
      </c>
      <c r="J640" s="776" t="s">
        <v>281</v>
      </c>
      <c r="L640" s="20"/>
    </row>
    <row r="641" spans="1:12" s="5" customFormat="1" ht="15">
      <c r="A641" s="682"/>
      <c r="B641" s="682"/>
      <c r="C641" s="4" t="s">
        <v>191</v>
      </c>
      <c r="D641" s="4" t="s">
        <v>192</v>
      </c>
      <c r="E641" s="680"/>
      <c r="F641" s="682"/>
      <c r="G641" s="682"/>
      <c r="H641" s="677"/>
      <c r="I641" s="70" t="s">
        <v>193</v>
      </c>
      <c r="J641" s="777"/>
      <c r="L641" s="20"/>
    </row>
    <row r="642" spans="1:12" s="5" customFormat="1" ht="15" customHeight="1">
      <c r="A642" s="642" t="s">
        <v>620</v>
      </c>
      <c r="B642" s="681">
        <v>3</v>
      </c>
      <c r="C642" s="10">
        <v>141</v>
      </c>
      <c r="D642" s="10">
        <v>1</v>
      </c>
      <c r="E642" s="10">
        <v>1</v>
      </c>
      <c r="F642" s="10" t="s">
        <v>236</v>
      </c>
      <c r="G642" s="10">
        <v>1</v>
      </c>
      <c r="H642" s="11" t="s">
        <v>613</v>
      </c>
      <c r="I642" s="77">
        <v>13839.75</v>
      </c>
      <c r="J642" s="18">
        <f>I642*100</f>
        <v>1383975</v>
      </c>
      <c r="L642" s="20"/>
    </row>
    <row r="643" spans="1:12" s="5" customFormat="1" ht="15">
      <c r="A643" s="816" t="s">
        <v>621</v>
      </c>
      <c r="B643" s="749"/>
      <c r="C643" s="10">
        <v>140</v>
      </c>
      <c r="D643" s="10">
        <v>5</v>
      </c>
      <c r="E643" s="10">
        <v>1</v>
      </c>
      <c r="F643" s="10" t="s">
        <v>384</v>
      </c>
      <c r="G643" s="10">
        <v>1</v>
      </c>
      <c r="H643" s="11" t="s">
        <v>615</v>
      </c>
      <c r="I643" s="77">
        <v>548.58</v>
      </c>
      <c r="J643" s="18">
        <f>I643*100</f>
        <v>54858.00000000001</v>
      </c>
      <c r="L643" s="20"/>
    </row>
    <row r="644" spans="1:12" s="5" customFormat="1" ht="15">
      <c r="A644" s="816"/>
      <c r="B644" s="749"/>
      <c r="C644" s="10">
        <v>140</v>
      </c>
      <c r="D644" s="10">
        <v>6</v>
      </c>
      <c r="E644" s="10">
        <v>1</v>
      </c>
      <c r="F644" s="10" t="s">
        <v>614</v>
      </c>
      <c r="G644" s="10">
        <v>2</v>
      </c>
      <c r="H644" s="11" t="s">
        <v>616</v>
      </c>
      <c r="I644" s="77">
        <v>309.87</v>
      </c>
      <c r="J644" s="18">
        <f>I644*100</f>
        <v>30987</v>
      </c>
      <c r="L644" s="20"/>
    </row>
    <row r="645" spans="1:12" s="5" customFormat="1" ht="15">
      <c r="A645" s="816"/>
      <c r="B645" s="749"/>
      <c r="C645" s="10">
        <v>140</v>
      </c>
      <c r="D645" s="27">
        <v>7</v>
      </c>
      <c r="E645" s="10">
        <v>1</v>
      </c>
      <c r="F645" s="27" t="s">
        <v>614</v>
      </c>
      <c r="G645" s="27">
        <v>2</v>
      </c>
      <c r="H645" s="11" t="s">
        <v>617</v>
      </c>
      <c r="I645" s="77">
        <v>402.84</v>
      </c>
      <c r="J645" s="18">
        <f>I645*100</f>
        <v>40284</v>
      </c>
      <c r="L645" s="20"/>
    </row>
    <row r="646" spans="1:12" s="5" customFormat="1" ht="15">
      <c r="A646" s="817"/>
      <c r="B646" s="749"/>
      <c r="C646" s="10">
        <v>140</v>
      </c>
      <c r="D646" s="27">
        <v>8</v>
      </c>
      <c r="E646" s="10">
        <v>1</v>
      </c>
      <c r="F646" s="27" t="s">
        <v>614</v>
      </c>
      <c r="G646" s="27">
        <v>2</v>
      </c>
      <c r="H646" s="11" t="s">
        <v>618</v>
      </c>
      <c r="I646" s="77">
        <v>340.86</v>
      </c>
      <c r="J646" s="18">
        <f>I646*100</f>
        <v>34086</v>
      </c>
      <c r="L646" s="20"/>
    </row>
    <row r="647" spans="1:12" s="5" customFormat="1" ht="15">
      <c r="A647" s="643" t="s">
        <v>622</v>
      </c>
      <c r="B647" s="749"/>
      <c r="C647" s="10">
        <v>356</v>
      </c>
      <c r="D647" s="27"/>
      <c r="E647" s="10"/>
      <c r="F647" s="27" t="s">
        <v>234</v>
      </c>
      <c r="G647" s="27" t="s">
        <v>173</v>
      </c>
      <c r="H647" s="11" t="s">
        <v>637</v>
      </c>
      <c r="I647" s="77" t="s">
        <v>638</v>
      </c>
      <c r="J647" s="18">
        <v>185279</v>
      </c>
      <c r="L647" s="20"/>
    </row>
    <row r="648" spans="1:12" s="5" customFormat="1" ht="15">
      <c r="A648" s="643" t="s">
        <v>636</v>
      </c>
      <c r="B648" s="682"/>
      <c r="C648" s="10">
        <v>355</v>
      </c>
      <c r="D648" s="27"/>
      <c r="E648" s="10"/>
      <c r="F648" s="27" t="s">
        <v>234</v>
      </c>
      <c r="G648" s="27" t="s">
        <v>173</v>
      </c>
      <c r="H648" s="11" t="s">
        <v>639</v>
      </c>
      <c r="I648" s="77" t="s">
        <v>640</v>
      </c>
      <c r="J648" s="18">
        <v>116203</v>
      </c>
      <c r="L648" s="20"/>
    </row>
    <row r="649" spans="1:12" s="135" customFormat="1" ht="30">
      <c r="A649" s="132" t="s">
        <v>286</v>
      </c>
      <c r="B649" s="123">
        <v>3</v>
      </c>
      <c r="C649" s="123">
        <v>1274</v>
      </c>
      <c r="D649" s="123"/>
      <c r="E649" s="123"/>
      <c r="F649" s="123" t="s">
        <v>139</v>
      </c>
      <c r="G649" s="123"/>
      <c r="H649" s="125"/>
      <c r="I649" s="124">
        <v>107.42</v>
      </c>
      <c r="J649" s="306" t="s">
        <v>6</v>
      </c>
      <c r="L649" s="537"/>
    </row>
    <row r="650" spans="1:12" s="5" customFormat="1" ht="8.25" customHeight="1">
      <c r="A650" s="729" t="s">
        <v>315</v>
      </c>
      <c r="B650" s="729"/>
      <c r="C650" s="729"/>
      <c r="D650" s="729"/>
      <c r="E650" s="729"/>
      <c r="F650" s="729"/>
      <c r="G650" s="729"/>
      <c r="H650" s="729"/>
      <c r="I650" s="729"/>
      <c r="J650" s="729"/>
      <c r="L650" s="20"/>
    </row>
    <row r="651" spans="1:11" ht="20.25" customHeight="1">
      <c r="A651" s="879" t="s">
        <v>242</v>
      </c>
      <c r="B651" s="879"/>
      <c r="C651" s="879"/>
      <c r="D651" s="879"/>
      <c r="E651" s="879"/>
      <c r="F651" s="879"/>
      <c r="G651" s="879"/>
      <c r="H651" s="879"/>
      <c r="I651" s="879"/>
      <c r="J651" s="31">
        <f>SUM(J640:J648)</f>
        <v>1845672</v>
      </c>
      <c r="K651" s="16"/>
    </row>
    <row r="652" spans="1:13" ht="18" customHeight="1">
      <c r="A652" s="692" t="s">
        <v>230</v>
      </c>
      <c r="B652" s="693"/>
      <c r="C652" s="693"/>
      <c r="D652" s="693"/>
      <c r="E652" s="693"/>
      <c r="F652" s="693"/>
      <c r="G652" s="693"/>
      <c r="H652" s="693"/>
      <c r="I652" s="694"/>
      <c r="J652" s="31">
        <v>74509.05</v>
      </c>
      <c r="K652" s="16"/>
      <c r="M652">
        <f>1544190+116203+185279</f>
        <v>1845672</v>
      </c>
    </row>
    <row r="653" spans="1:11" ht="20.25" customHeight="1">
      <c r="A653" s="691" t="s">
        <v>242</v>
      </c>
      <c r="B653" s="691"/>
      <c r="C653" s="691"/>
      <c r="D653" s="691"/>
      <c r="E653" s="691"/>
      <c r="F653" s="691"/>
      <c r="G653" s="691"/>
      <c r="H653" s="691"/>
      <c r="I653" s="691"/>
      <c r="J653" s="31">
        <f>SUM(J651:J652)</f>
        <v>1920181.05</v>
      </c>
      <c r="K653" s="16">
        <f>J642+J643+J644+J645+J646</f>
        <v>1544190</v>
      </c>
    </row>
    <row r="654" spans="1:11" ht="20.25" customHeight="1">
      <c r="A654" s="37"/>
      <c r="B654" s="37"/>
      <c r="C654" s="37"/>
      <c r="D654" s="37"/>
      <c r="E654" s="37"/>
      <c r="F654" s="37"/>
      <c r="G654" s="37"/>
      <c r="H654" s="37"/>
      <c r="I654" s="37"/>
      <c r="J654" s="39"/>
      <c r="K654" s="16"/>
    </row>
    <row r="655" spans="1:10" ht="36" customHeight="1" thickBot="1">
      <c r="A655" s="797" t="s">
        <v>599</v>
      </c>
      <c r="B655" s="798"/>
      <c r="C655" s="798"/>
      <c r="D655" s="798"/>
      <c r="E655" s="798"/>
      <c r="F655" s="798"/>
      <c r="G655" s="798"/>
      <c r="H655" s="798"/>
      <c r="I655" s="798"/>
      <c r="J655" s="798"/>
    </row>
    <row r="656" spans="1:10" ht="46.5" thickBot="1" thickTop="1">
      <c r="A656" s="655" t="s">
        <v>285</v>
      </c>
      <c r="B656" s="656"/>
      <c r="C656" s="656"/>
      <c r="D656" s="656"/>
      <c r="E656" s="656"/>
      <c r="F656" s="656"/>
      <c r="G656" s="656"/>
      <c r="H656" s="656"/>
      <c r="I656" s="656"/>
      <c r="J656" s="657"/>
    </row>
    <row r="657" spans="1:10" ht="24.75" customHeight="1" thickTop="1">
      <c r="A657" s="710" t="s">
        <v>249</v>
      </c>
      <c r="B657" s="710"/>
      <c r="C657" s="710"/>
      <c r="D657" s="710"/>
      <c r="E657" s="710"/>
      <c r="F657" s="710"/>
      <c r="G657" s="710"/>
      <c r="H657" s="710"/>
      <c r="I657" s="710"/>
      <c r="J657" s="710"/>
    </row>
    <row r="658" spans="1:10" ht="19.5" customHeight="1">
      <c r="A658" s="672" t="s">
        <v>532</v>
      </c>
      <c r="B658" s="833"/>
      <c r="C658" s="833"/>
      <c r="D658" s="833"/>
      <c r="E658" s="833"/>
      <c r="F658" s="833"/>
      <c r="G658" s="833"/>
      <c r="H658" s="833"/>
      <c r="I658" s="833"/>
      <c r="J658" s="833"/>
    </row>
    <row r="659" spans="1:10" ht="19.5" customHeight="1">
      <c r="A659" s="678" t="s">
        <v>533</v>
      </c>
      <c r="B659" s="729"/>
      <c r="C659" s="729"/>
      <c r="D659" s="729"/>
      <c r="E659" s="729"/>
      <c r="F659" s="729"/>
      <c r="G659" s="729"/>
      <c r="H659" s="729"/>
      <c r="I659" s="729"/>
      <c r="J659" s="729"/>
    </row>
    <row r="660" spans="1:10" ht="15.75">
      <c r="A660" s="678" t="s">
        <v>75</v>
      </c>
      <c r="B660" s="729"/>
      <c r="C660" s="729"/>
      <c r="D660" s="729"/>
      <c r="E660" s="729"/>
      <c r="F660" s="729"/>
      <c r="G660" s="729"/>
      <c r="H660" s="729"/>
      <c r="I660" s="729"/>
      <c r="J660" s="729"/>
    </row>
    <row r="661" spans="1:12" s="5" customFormat="1" ht="24" customHeight="1">
      <c r="A661" s="43"/>
      <c r="B661" s="44"/>
      <c r="C661" s="44"/>
      <c r="D661" s="44"/>
      <c r="E661" s="44"/>
      <c r="F661" s="44"/>
      <c r="G661" s="44"/>
      <c r="H661" s="44"/>
      <c r="I661" s="44"/>
      <c r="J661" s="44"/>
      <c r="L661" s="20"/>
    </row>
    <row r="662" spans="1:12" s="5" customFormat="1" ht="33" customHeight="1">
      <c r="A662" s="681" t="s">
        <v>97</v>
      </c>
      <c r="B662" s="681" t="s">
        <v>187</v>
      </c>
      <c r="C662" s="668" t="s">
        <v>188</v>
      </c>
      <c r="D662" s="669"/>
      <c r="E662" s="679" t="s">
        <v>189</v>
      </c>
      <c r="F662" s="681" t="s">
        <v>169</v>
      </c>
      <c r="G662" s="681" t="s">
        <v>170</v>
      </c>
      <c r="H662" s="676" t="s">
        <v>171</v>
      </c>
      <c r="I662" s="72" t="s">
        <v>190</v>
      </c>
      <c r="J662" s="776" t="s">
        <v>98</v>
      </c>
      <c r="L662" s="20"/>
    </row>
    <row r="663" spans="1:10" ht="39" customHeight="1">
      <c r="A663" s="682"/>
      <c r="B663" s="682"/>
      <c r="C663" s="4" t="s">
        <v>191</v>
      </c>
      <c r="D663" s="4" t="s">
        <v>192</v>
      </c>
      <c r="E663" s="680"/>
      <c r="F663" s="682"/>
      <c r="G663" s="682"/>
      <c r="H663" s="677"/>
      <c r="I663" s="70" t="s">
        <v>193</v>
      </c>
      <c r="J663" s="777"/>
    </row>
    <row r="664" spans="1:10" ht="18" customHeight="1">
      <c r="A664" s="819" t="s">
        <v>135</v>
      </c>
      <c r="B664" s="29">
        <v>25</v>
      </c>
      <c r="C664" s="32">
        <v>1519</v>
      </c>
      <c r="D664" s="49"/>
      <c r="E664" s="49"/>
      <c r="F664" s="49" t="s">
        <v>256</v>
      </c>
      <c r="G664" s="49"/>
      <c r="H664" s="30"/>
      <c r="I664" s="71"/>
      <c r="J664" s="679"/>
    </row>
    <row r="665" spans="1:10" ht="18" customHeight="1">
      <c r="A665" s="820"/>
      <c r="B665" s="29"/>
      <c r="C665" s="9">
        <v>1526</v>
      </c>
      <c r="D665" s="49"/>
      <c r="E665" s="49"/>
      <c r="F665" s="49"/>
      <c r="G665" s="49"/>
      <c r="H665" s="30"/>
      <c r="I665" s="71"/>
      <c r="J665" s="758"/>
    </row>
    <row r="666" spans="1:10" ht="25.5" customHeight="1">
      <c r="A666" s="820"/>
      <c r="B666" s="29"/>
      <c r="C666" s="32">
        <v>1527</v>
      </c>
      <c r="D666" s="49"/>
      <c r="E666" s="49"/>
      <c r="F666" s="49"/>
      <c r="G666" s="49"/>
      <c r="H666" s="30"/>
      <c r="I666" s="71"/>
      <c r="J666" s="758"/>
    </row>
    <row r="667" spans="1:10" ht="18" customHeight="1">
      <c r="A667" s="820"/>
      <c r="B667" s="29"/>
      <c r="C667" s="32">
        <v>1044</v>
      </c>
      <c r="D667" s="49"/>
      <c r="E667" s="49"/>
      <c r="F667" s="49"/>
      <c r="G667" s="49"/>
      <c r="H667" s="30"/>
      <c r="I667" s="71"/>
      <c r="J667" s="758"/>
    </row>
    <row r="668" spans="1:10" ht="18" customHeight="1">
      <c r="A668" s="820"/>
      <c r="B668" s="29"/>
      <c r="C668" s="32">
        <v>1046</v>
      </c>
      <c r="D668" s="49"/>
      <c r="E668" s="49"/>
      <c r="F668" s="49"/>
      <c r="G668" s="49"/>
      <c r="H668" s="30"/>
      <c r="I668" s="71"/>
      <c r="J668" s="758"/>
    </row>
    <row r="669" spans="1:10" ht="20.25" customHeight="1">
      <c r="A669" s="820"/>
      <c r="B669" s="29"/>
      <c r="C669" s="48" t="s">
        <v>534</v>
      </c>
      <c r="D669" s="49"/>
      <c r="E669" s="49"/>
      <c r="F669" s="49"/>
      <c r="G669" s="49"/>
      <c r="H669" s="30"/>
      <c r="I669" s="71"/>
      <c r="J669" s="758"/>
    </row>
    <row r="670" spans="1:10" ht="20.25" customHeight="1">
      <c r="A670" s="820"/>
      <c r="B670" s="29"/>
      <c r="C670" s="32">
        <v>1535</v>
      </c>
      <c r="D670" s="49"/>
      <c r="E670" s="49"/>
      <c r="F670" s="49"/>
      <c r="G670" s="49"/>
      <c r="H670" s="30"/>
      <c r="I670" s="71"/>
      <c r="J670" s="758"/>
    </row>
    <row r="671" spans="1:10" ht="23.25" customHeight="1">
      <c r="A671" s="820"/>
      <c r="B671" s="29"/>
      <c r="C671" s="48" t="s">
        <v>535</v>
      </c>
      <c r="D671" s="49"/>
      <c r="E671" s="49"/>
      <c r="F671" s="49"/>
      <c r="G671" s="49"/>
      <c r="H671" s="30"/>
      <c r="I671" s="71"/>
      <c r="J671" s="758"/>
    </row>
    <row r="672" spans="1:10" ht="23.25" customHeight="1">
      <c r="A672" s="820"/>
      <c r="B672" s="29"/>
      <c r="C672" s="32">
        <v>1537</v>
      </c>
      <c r="D672" s="49"/>
      <c r="E672" s="49"/>
      <c r="F672" s="49"/>
      <c r="G672" s="49"/>
      <c r="H672" s="30"/>
      <c r="I672" s="71"/>
      <c r="J672" s="758"/>
    </row>
    <row r="673" spans="1:10" ht="18" customHeight="1">
      <c r="A673" s="820"/>
      <c r="B673" s="29"/>
      <c r="C673" s="32">
        <v>1059</v>
      </c>
      <c r="D673" s="49"/>
      <c r="E673" s="49"/>
      <c r="F673" s="49"/>
      <c r="G673" s="49"/>
      <c r="H673" s="30"/>
      <c r="I673" s="71"/>
      <c r="J673" s="758"/>
    </row>
    <row r="674" spans="1:10" ht="18" customHeight="1">
      <c r="A674" s="820"/>
      <c r="B674" s="29"/>
      <c r="C674" s="32">
        <v>1061</v>
      </c>
      <c r="D674" s="49"/>
      <c r="E674" s="49"/>
      <c r="F674" s="49"/>
      <c r="G674" s="49"/>
      <c r="H674" s="30"/>
      <c r="I674" s="71"/>
      <c r="J674" s="758"/>
    </row>
    <row r="675" spans="1:10" ht="18" customHeight="1">
      <c r="A675" s="820"/>
      <c r="B675" s="29"/>
      <c r="C675" s="32">
        <v>1538</v>
      </c>
      <c r="D675" s="49"/>
      <c r="E675" s="49"/>
      <c r="F675" s="49"/>
      <c r="G675" s="49"/>
      <c r="H675" s="30"/>
      <c r="I675" s="71"/>
      <c r="J675" s="758"/>
    </row>
    <row r="676" spans="1:10" ht="18" customHeight="1">
      <c r="A676" s="820"/>
      <c r="B676" s="29"/>
      <c r="C676" s="32">
        <v>1539</v>
      </c>
      <c r="D676" s="49"/>
      <c r="E676" s="49"/>
      <c r="F676" s="49"/>
      <c r="G676" s="49"/>
      <c r="H676" s="30"/>
      <c r="I676" s="71"/>
      <c r="J676" s="758"/>
    </row>
    <row r="677" spans="1:10" ht="21.75" customHeight="1">
      <c r="A677" s="821"/>
      <c r="B677" s="29"/>
      <c r="C677" s="47" t="s">
        <v>536</v>
      </c>
      <c r="D677" s="49"/>
      <c r="E677" s="49"/>
      <c r="F677" s="49"/>
      <c r="G677" s="49"/>
      <c r="H677" s="30"/>
      <c r="I677" s="71"/>
      <c r="J677" s="680"/>
    </row>
    <row r="678" spans="1:10" ht="15.75">
      <c r="A678" s="782" t="s">
        <v>540</v>
      </c>
      <c r="B678" s="783"/>
      <c r="C678" s="783"/>
      <c r="D678" s="783"/>
      <c r="E678" s="783"/>
      <c r="F678" s="783"/>
      <c r="G678" s="783"/>
      <c r="H678" s="783"/>
      <c r="I678" s="784"/>
      <c r="J678" s="57">
        <v>350178.68</v>
      </c>
    </row>
    <row r="679" spans="1:10" ht="15.75">
      <c r="A679" s="785"/>
      <c r="B679" s="786"/>
      <c r="C679" s="786"/>
      <c r="D679" s="786"/>
      <c r="E679" s="786"/>
      <c r="F679" s="786"/>
      <c r="G679" s="786"/>
      <c r="H679" s="786"/>
      <c r="I679" s="787"/>
      <c r="J679" s="57">
        <v>2939.17</v>
      </c>
    </row>
    <row r="680" spans="1:10" ht="30" customHeight="1">
      <c r="A680" s="781" t="s">
        <v>541</v>
      </c>
      <c r="B680" s="781"/>
      <c r="C680" s="781"/>
      <c r="D680" s="781"/>
      <c r="E680" s="781"/>
      <c r="F680" s="781"/>
      <c r="G680" s="781"/>
      <c r="H680" s="781"/>
      <c r="I680" s="781"/>
      <c r="J680" s="57">
        <f>SUM(J678:J679)</f>
        <v>353117.85</v>
      </c>
    </row>
    <row r="681" spans="1:12" s="5" customFormat="1" ht="33" customHeight="1">
      <c r="A681"/>
      <c r="B681"/>
      <c r="C681"/>
      <c r="D681"/>
      <c r="E681"/>
      <c r="F681"/>
      <c r="G681"/>
      <c r="H681"/>
      <c r="I681" s="74"/>
      <c r="J681"/>
      <c r="L681" s="20"/>
    </row>
    <row r="682" spans="1:10" ht="60" customHeight="1" thickBot="1">
      <c r="A682" s="673" t="s">
        <v>567</v>
      </c>
      <c r="B682" s="673"/>
      <c r="C682" s="673"/>
      <c r="D682" s="673"/>
      <c r="E682" s="673"/>
      <c r="F682" s="673"/>
      <c r="G682" s="673"/>
      <c r="H682" s="673"/>
      <c r="I682" s="673"/>
      <c r="J682" s="673"/>
    </row>
    <row r="683" spans="1:12" s="5" customFormat="1" ht="49.5" customHeight="1" thickBot="1" thickTop="1">
      <c r="A683" s="655" t="s">
        <v>273</v>
      </c>
      <c r="B683" s="656"/>
      <c r="C683" s="656"/>
      <c r="D683" s="656"/>
      <c r="E683" s="656"/>
      <c r="F683" s="656"/>
      <c r="G683" s="656"/>
      <c r="H683" s="656"/>
      <c r="I683" s="656"/>
      <c r="J683" s="657"/>
      <c r="L683" s="20"/>
    </row>
    <row r="684" spans="1:12" s="5" customFormat="1" ht="24.75" customHeight="1" thickTop="1">
      <c r="A684" s="710" t="s">
        <v>249</v>
      </c>
      <c r="B684" s="710"/>
      <c r="C684" s="710"/>
      <c r="D684" s="710"/>
      <c r="E684" s="710"/>
      <c r="F684" s="710"/>
      <c r="G684" s="710"/>
      <c r="H684" s="710"/>
      <c r="I684" s="710"/>
      <c r="J684" s="710"/>
      <c r="L684" s="20"/>
    </row>
    <row r="685" spans="1:12" s="5" customFormat="1" ht="30.75" customHeight="1">
      <c r="A685" s="774" t="s">
        <v>511</v>
      </c>
      <c r="B685" s="729"/>
      <c r="C685" s="729"/>
      <c r="D685" s="729"/>
      <c r="E685" s="729"/>
      <c r="F685" s="729"/>
      <c r="G685" s="729"/>
      <c r="H685" s="729"/>
      <c r="I685" s="729"/>
      <c r="J685" s="729"/>
      <c r="L685" s="20"/>
    </row>
    <row r="686" spans="1:12" s="5" customFormat="1" ht="24.75" customHeight="1">
      <c r="A686" s="678" t="s">
        <v>166</v>
      </c>
      <c r="B686" s="729"/>
      <c r="C686" s="729"/>
      <c r="D686" s="729"/>
      <c r="E686" s="729"/>
      <c r="F686" s="729"/>
      <c r="G686" s="729"/>
      <c r="H686" s="729"/>
      <c r="I686" s="729"/>
      <c r="J686" s="729"/>
      <c r="L686" s="20"/>
    </row>
    <row r="687" spans="1:12" s="5" customFormat="1" ht="24.75" customHeight="1">
      <c r="A687" s="678" t="s">
        <v>76</v>
      </c>
      <c r="B687" s="729"/>
      <c r="C687" s="729"/>
      <c r="D687" s="729"/>
      <c r="E687" s="729"/>
      <c r="F687" s="729"/>
      <c r="G687" s="729"/>
      <c r="H687" s="729"/>
      <c r="I687" s="729"/>
      <c r="J687" s="729"/>
      <c r="L687" s="20"/>
    </row>
    <row r="688" spans="1:12" s="5" customFormat="1" ht="24" customHeight="1">
      <c r="A688" s="43"/>
      <c r="B688" s="44"/>
      <c r="C688" s="44"/>
      <c r="D688" s="44"/>
      <c r="E688" s="44"/>
      <c r="F688" s="44"/>
      <c r="G688" s="44"/>
      <c r="H688" s="44"/>
      <c r="I688" s="44"/>
      <c r="J688" s="44"/>
      <c r="L688" s="20"/>
    </row>
    <row r="689" spans="1:12" s="5" customFormat="1" ht="33" customHeight="1">
      <c r="A689" s="681" t="s">
        <v>97</v>
      </c>
      <c r="B689" s="681" t="s">
        <v>187</v>
      </c>
      <c r="C689" s="668" t="s">
        <v>188</v>
      </c>
      <c r="D689" s="669"/>
      <c r="E689" s="679" t="s">
        <v>189</v>
      </c>
      <c r="F689" s="681" t="s">
        <v>169</v>
      </c>
      <c r="G689" s="681" t="s">
        <v>170</v>
      </c>
      <c r="H689" s="676" t="s">
        <v>171</v>
      </c>
      <c r="I689" s="72" t="s">
        <v>190</v>
      </c>
      <c r="J689" s="776" t="s">
        <v>98</v>
      </c>
      <c r="L689" s="20"/>
    </row>
    <row r="690" spans="1:12" s="5" customFormat="1" ht="39" customHeight="1">
      <c r="A690" s="682"/>
      <c r="B690" s="682"/>
      <c r="C690" s="4" t="s">
        <v>191</v>
      </c>
      <c r="D690" s="4" t="s">
        <v>192</v>
      </c>
      <c r="E690" s="680"/>
      <c r="F690" s="682"/>
      <c r="G690" s="682"/>
      <c r="H690" s="677"/>
      <c r="I690" s="70" t="s">
        <v>193</v>
      </c>
      <c r="J690" s="777"/>
      <c r="L690" s="20"/>
    </row>
    <row r="691" spans="1:12" s="5" customFormat="1" ht="18" customHeight="1">
      <c r="A691" s="679" t="s">
        <v>121</v>
      </c>
      <c r="B691" s="29">
        <v>47</v>
      </c>
      <c r="C691" s="48">
        <v>2544</v>
      </c>
      <c r="D691" s="49"/>
      <c r="E691" s="49">
        <v>1</v>
      </c>
      <c r="F691" s="49" t="s">
        <v>232</v>
      </c>
      <c r="G691" s="49" t="s">
        <v>173</v>
      </c>
      <c r="H691" s="30" t="s">
        <v>512</v>
      </c>
      <c r="I691" s="113">
        <v>751.6</v>
      </c>
      <c r="J691" s="588">
        <f>I691*100</f>
        <v>75160</v>
      </c>
      <c r="L691" s="20"/>
    </row>
    <row r="692" spans="1:12" s="5" customFormat="1" ht="16.5" customHeight="1">
      <c r="A692" s="680"/>
      <c r="B692" s="29"/>
      <c r="C692" s="48"/>
      <c r="D692" s="49"/>
      <c r="E692" s="49"/>
      <c r="F692" s="49"/>
      <c r="G692" s="49"/>
      <c r="H692" s="30"/>
      <c r="I692" s="71"/>
      <c r="J692" s="41"/>
      <c r="L692" s="20"/>
    </row>
    <row r="693" spans="1:12" s="5" customFormat="1" ht="15.75">
      <c r="A693" s="691" t="s">
        <v>328</v>
      </c>
      <c r="B693" s="691"/>
      <c r="C693" s="691"/>
      <c r="D693" s="691"/>
      <c r="E693" s="691"/>
      <c r="F693" s="691"/>
      <c r="G693" s="691"/>
      <c r="H693" s="691"/>
      <c r="I693" s="691"/>
      <c r="J693" s="31">
        <v>394889.84</v>
      </c>
      <c r="K693" s="20"/>
      <c r="L693" s="20"/>
    </row>
    <row r="694" spans="9:12" s="5" customFormat="1" ht="9" customHeight="1">
      <c r="I694" s="40"/>
      <c r="L694" s="20"/>
    </row>
    <row r="695" spans="1:12" s="5" customFormat="1" ht="49.5" customHeight="1">
      <c r="A695" s="673" t="s">
        <v>575</v>
      </c>
      <c r="B695" s="673"/>
      <c r="C695" s="673"/>
      <c r="D695" s="673"/>
      <c r="E695" s="673"/>
      <c r="F695" s="673"/>
      <c r="G695" s="673"/>
      <c r="H695" s="673"/>
      <c r="I695" s="673"/>
      <c r="J695" s="673"/>
      <c r="L695" s="20"/>
    </row>
    <row r="696" spans="1:12" s="5" customFormat="1" ht="14.25" customHeight="1">
      <c r="A696" s="43"/>
      <c r="B696" s="44"/>
      <c r="C696" s="44"/>
      <c r="D696" s="44"/>
      <c r="E696" s="44"/>
      <c r="F696" s="44"/>
      <c r="G696" s="44"/>
      <c r="H696" s="44"/>
      <c r="I696" s="60"/>
      <c r="J696" s="44"/>
      <c r="L696" s="20"/>
    </row>
    <row r="697" spans="1:10" ht="30.75" customHeight="1" thickBot="1">
      <c r="A697" s="818"/>
      <c r="B697" s="818"/>
      <c r="C697" s="818"/>
      <c r="D697" s="818"/>
      <c r="E697" s="818"/>
      <c r="F697" s="818"/>
      <c r="G697" s="818"/>
      <c r="H697" s="818"/>
      <c r="I697" s="818"/>
      <c r="J697" s="818"/>
    </row>
    <row r="698" spans="1:10" ht="48" customHeight="1" thickBot="1">
      <c r="A698" s="767" t="s">
        <v>56</v>
      </c>
      <c r="B698" s="768"/>
      <c r="C698" s="768"/>
      <c r="D698" s="768"/>
      <c r="E698" s="768"/>
      <c r="F698" s="768"/>
      <c r="G698" s="768"/>
      <c r="H698" s="768"/>
      <c r="I698" s="768"/>
      <c r="J698" s="769"/>
    </row>
    <row r="699" spans="1:10" ht="46.5" thickBot="1" thickTop="1">
      <c r="A699" s="655" t="s">
        <v>280</v>
      </c>
      <c r="B699" s="656"/>
      <c r="C699" s="656"/>
      <c r="D699" s="656"/>
      <c r="E699" s="656"/>
      <c r="F699" s="656"/>
      <c r="G699" s="656"/>
      <c r="H699" s="656"/>
      <c r="I699" s="656"/>
      <c r="J699" s="657"/>
    </row>
    <row r="700" spans="1:10" ht="25.5" customHeight="1" thickTop="1">
      <c r="A700" s="710" t="s">
        <v>247</v>
      </c>
      <c r="B700" s="710"/>
      <c r="C700" s="710"/>
      <c r="D700" s="710"/>
      <c r="E700" s="710"/>
      <c r="F700" s="710"/>
      <c r="G700" s="710"/>
      <c r="H700" s="710"/>
      <c r="I700" s="710"/>
      <c r="J700" s="710"/>
    </row>
    <row r="701" spans="1:10" ht="19.5" customHeight="1">
      <c r="A701" s="678" t="s">
        <v>58</v>
      </c>
      <c r="B701" s="678"/>
      <c r="C701" s="678"/>
      <c r="D701" s="678"/>
      <c r="E701" s="678"/>
      <c r="F701" s="678"/>
      <c r="G701" s="678"/>
      <c r="H701" s="678"/>
      <c r="I701" s="678"/>
      <c r="J701" s="678"/>
    </row>
    <row r="702" spans="1:10" ht="19.5" customHeight="1">
      <c r="A702" s="43" t="s">
        <v>59</v>
      </c>
      <c r="B702" s="43"/>
      <c r="C702" s="43"/>
      <c r="D702" s="43"/>
      <c r="E702" s="43"/>
      <c r="F702" s="43"/>
      <c r="G702" s="43"/>
      <c r="H702" s="43"/>
      <c r="I702" s="43"/>
      <c r="J702" s="43"/>
    </row>
    <row r="703" spans="1:10" ht="19.5" customHeight="1">
      <c r="A703" s="678" t="s">
        <v>60</v>
      </c>
      <c r="B703" s="678"/>
      <c r="C703" s="678"/>
      <c r="D703" s="678"/>
      <c r="E703" s="678"/>
      <c r="F703" s="678"/>
      <c r="G703" s="678"/>
      <c r="H703" s="678"/>
      <c r="I703" s="678"/>
      <c r="J703" s="678"/>
    </row>
    <row r="704" spans="1:12" s="9" customFormat="1" ht="12" customHeight="1">
      <c r="A704" s="43"/>
      <c r="B704" s="43"/>
      <c r="C704" s="43"/>
      <c r="D704" s="43"/>
      <c r="E704" s="43"/>
      <c r="F704" s="43"/>
      <c r="G704" s="43"/>
      <c r="H704" s="43"/>
      <c r="I704" s="43"/>
      <c r="J704" s="43"/>
      <c r="L704" s="534"/>
    </row>
    <row r="705" spans="1:12" s="5" customFormat="1" ht="19.5" customHeight="1">
      <c r="A705" s="703" t="s">
        <v>254</v>
      </c>
      <c r="B705" s="703" t="s">
        <v>187</v>
      </c>
      <c r="C705" s="703" t="s">
        <v>188</v>
      </c>
      <c r="D705" s="703"/>
      <c r="E705" s="704" t="s">
        <v>216</v>
      </c>
      <c r="F705" s="681" t="s">
        <v>213</v>
      </c>
      <c r="G705" s="681" t="s">
        <v>170</v>
      </c>
      <c r="H705" s="715" t="s">
        <v>214</v>
      </c>
      <c r="I705" s="713" t="s">
        <v>215</v>
      </c>
      <c r="J705" s="658" t="s">
        <v>172</v>
      </c>
      <c r="L705" s="20"/>
    </row>
    <row r="706" spans="1:10" ht="18" customHeight="1">
      <c r="A706" s="681"/>
      <c r="B706" s="681"/>
      <c r="C706" s="36" t="s">
        <v>191</v>
      </c>
      <c r="D706" s="36" t="s">
        <v>192</v>
      </c>
      <c r="E706" s="679"/>
      <c r="F706" s="682"/>
      <c r="G706" s="682"/>
      <c r="H706" s="716"/>
      <c r="I706" s="714"/>
      <c r="J706" s="659"/>
    </row>
    <row r="707" spans="1:10" ht="18" customHeight="1">
      <c r="A707" s="681" t="s">
        <v>70</v>
      </c>
      <c r="B707" s="4">
        <v>11</v>
      </c>
      <c r="C707" s="10">
        <v>173</v>
      </c>
      <c r="D707" s="4"/>
      <c r="E707" s="11" t="s">
        <v>57</v>
      </c>
      <c r="F707" s="10" t="s">
        <v>225</v>
      </c>
      <c r="G707" s="10">
        <v>2</v>
      </c>
      <c r="H707" s="18">
        <v>0.8728121594612321</v>
      </c>
      <c r="I707" s="77">
        <v>0.7385333656979657</v>
      </c>
      <c r="J707" s="4">
        <v>0</v>
      </c>
    </row>
    <row r="708" spans="1:10" ht="18" customHeight="1">
      <c r="A708" s="749"/>
      <c r="B708" s="4"/>
      <c r="C708" s="10">
        <v>174</v>
      </c>
      <c r="D708" s="4"/>
      <c r="E708" s="11" t="s">
        <v>217</v>
      </c>
      <c r="F708" s="10" t="s">
        <v>260</v>
      </c>
      <c r="G708" s="10"/>
      <c r="H708" s="18">
        <v>0</v>
      </c>
      <c r="I708" s="77">
        <v>0</v>
      </c>
      <c r="J708" s="4">
        <v>0</v>
      </c>
    </row>
    <row r="709" spans="1:10" ht="18" customHeight="1">
      <c r="A709" s="749"/>
      <c r="B709" s="4"/>
      <c r="C709" s="10">
        <v>175</v>
      </c>
      <c r="D709" s="4"/>
      <c r="E709" s="11">
        <v>50</v>
      </c>
      <c r="F709" s="10" t="s">
        <v>225</v>
      </c>
      <c r="G709" s="10">
        <v>2</v>
      </c>
      <c r="H709" s="18">
        <v>0.3356969844081662</v>
      </c>
      <c r="I709" s="77">
        <v>0.28405129449921757</v>
      </c>
      <c r="J709" s="4">
        <v>0</v>
      </c>
    </row>
    <row r="710" spans="1:10" ht="18" customHeight="1">
      <c r="A710" s="682"/>
      <c r="B710" s="4"/>
      <c r="C710" s="10">
        <v>176</v>
      </c>
      <c r="D710" s="4"/>
      <c r="E710" s="11">
        <v>70</v>
      </c>
      <c r="F710" s="10" t="s">
        <v>225</v>
      </c>
      <c r="G710" s="10">
        <v>3</v>
      </c>
      <c r="H710" s="18">
        <v>0.36151982936264054</v>
      </c>
      <c r="I710" s="77">
        <v>0.3253678464263765</v>
      </c>
      <c r="J710" s="4">
        <v>0</v>
      </c>
    </row>
    <row r="711" spans="6:10" ht="12.75">
      <c r="F711"/>
      <c r="H711"/>
      <c r="I711" s="74"/>
      <c r="J711"/>
    </row>
    <row r="712" spans="1:10" ht="24.75" customHeight="1">
      <c r="A712" s="710" t="s">
        <v>249</v>
      </c>
      <c r="B712" s="710"/>
      <c r="C712" s="710"/>
      <c r="D712" s="710"/>
      <c r="E712" s="710"/>
      <c r="F712" s="710"/>
      <c r="G712" s="710"/>
      <c r="H712" s="710"/>
      <c r="I712" s="710"/>
      <c r="J712" s="710"/>
    </row>
    <row r="713" spans="1:10" ht="19.5" customHeight="1">
      <c r="A713" s="678" t="s">
        <v>398</v>
      </c>
      <c r="B713" s="678"/>
      <c r="C713" s="678"/>
      <c r="D713" s="678"/>
      <c r="E713" s="678"/>
      <c r="F713" s="678"/>
      <c r="G713" s="678"/>
      <c r="H713" s="678"/>
      <c r="I713" s="678"/>
      <c r="J713" s="678"/>
    </row>
    <row r="714" spans="1:10" ht="19.5" customHeight="1">
      <c r="A714" s="709" t="s">
        <v>542</v>
      </c>
      <c r="B714" s="709"/>
      <c r="C714" s="709"/>
      <c r="D714" s="709"/>
      <c r="E714" s="709"/>
      <c r="F714" s="709"/>
      <c r="G714" s="709"/>
      <c r="H714" s="709"/>
      <c r="I714" s="709"/>
      <c r="J714" s="709"/>
    </row>
    <row r="715" spans="1:10" ht="19.5" customHeight="1">
      <c r="A715" s="678" t="s">
        <v>61</v>
      </c>
      <c r="B715" s="678"/>
      <c r="C715" s="678"/>
      <c r="D715" s="678"/>
      <c r="E715" s="678"/>
      <c r="F715" s="678"/>
      <c r="G715" s="678"/>
      <c r="H715" s="678"/>
      <c r="I715" s="678"/>
      <c r="J715" s="678"/>
    </row>
    <row r="716" spans="1:12" s="5" customFormat="1" ht="6" customHeight="1">
      <c r="A716" s="43"/>
      <c r="B716" s="43"/>
      <c r="C716" s="43"/>
      <c r="D716" s="43"/>
      <c r="E716" s="43"/>
      <c r="F716" s="43"/>
      <c r="G716" s="43"/>
      <c r="H716" s="43"/>
      <c r="I716" s="43"/>
      <c r="J716" s="43"/>
      <c r="L716" s="20"/>
    </row>
    <row r="717" spans="1:12" s="5" customFormat="1" ht="33" customHeight="1">
      <c r="A717" s="681" t="s">
        <v>97</v>
      </c>
      <c r="B717" s="681" t="s">
        <v>187</v>
      </c>
      <c r="C717" s="668" t="s">
        <v>188</v>
      </c>
      <c r="D717" s="669"/>
      <c r="E717" s="679" t="s">
        <v>189</v>
      </c>
      <c r="F717" s="681" t="s">
        <v>169</v>
      </c>
      <c r="G717" s="681" t="s">
        <v>170</v>
      </c>
      <c r="H717" s="676" t="s">
        <v>171</v>
      </c>
      <c r="I717" s="72" t="s">
        <v>190</v>
      </c>
      <c r="J717" s="776" t="s">
        <v>281</v>
      </c>
      <c r="L717" s="20"/>
    </row>
    <row r="718" spans="1:10" ht="18" customHeight="1">
      <c r="A718" s="682"/>
      <c r="B718" s="682"/>
      <c r="C718" s="4" t="s">
        <v>191</v>
      </c>
      <c r="D718" s="4" t="s">
        <v>192</v>
      </c>
      <c r="E718" s="680"/>
      <c r="F718" s="682"/>
      <c r="G718" s="682"/>
      <c r="H718" s="677"/>
      <c r="I718" s="70" t="s">
        <v>193</v>
      </c>
      <c r="J718" s="777"/>
    </row>
    <row r="719" spans="1:11" ht="15">
      <c r="A719" s="10" t="s">
        <v>70</v>
      </c>
      <c r="B719" s="10">
        <v>11</v>
      </c>
      <c r="C719" s="10">
        <v>100</v>
      </c>
      <c r="D719" s="10"/>
      <c r="E719" s="10" t="s">
        <v>173</v>
      </c>
      <c r="F719" s="10" t="s">
        <v>232</v>
      </c>
      <c r="G719" s="10" t="s">
        <v>173</v>
      </c>
      <c r="H719" s="11" t="s">
        <v>627</v>
      </c>
      <c r="I719" s="77">
        <v>84231.23</v>
      </c>
      <c r="J719" s="18">
        <f>I719*100</f>
        <v>8423123</v>
      </c>
      <c r="K719" s="16">
        <f>J723+486516.5</f>
        <v>2061685.93</v>
      </c>
    </row>
    <row r="720" spans="1:12" s="148" customFormat="1" ht="15">
      <c r="A720" s="142" t="s">
        <v>272</v>
      </c>
      <c r="B720" s="142"/>
      <c r="C720" s="143">
        <v>313</v>
      </c>
      <c r="D720" s="142"/>
      <c r="E720" s="144"/>
      <c r="F720" s="143" t="s">
        <v>271</v>
      </c>
      <c r="G720" s="143"/>
      <c r="H720" s="145"/>
      <c r="I720" s="146">
        <v>263.39</v>
      </c>
      <c r="J720" s="147"/>
      <c r="K720" s="538"/>
      <c r="L720" s="538"/>
    </row>
    <row r="721" spans="1:12" s="148" customFormat="1" ht="15">
      <c r="A721" s="142" t="s">
        <v>272</v>
      </c>
      <c r="B721" s="142"/>
      <c r="C721" s="143">
        <v>314</v>
      </c>
      <c r="D721" s="142"/>
      <c r="E721" s="144"/>
      <c r="F721" s="143" t="s">
        <v>271</v>
      </c>
      <c r="G721" s="143"/>
      <c r="H721" s="145"/>
      <c r="I721" s="146">
        <v>178.18</v>
      </c>
      <c r="J721" s="147"/>
      <c r="L721" s="538"/>
    </row>
    <row r="722" spans="1:12" s="148" customFormat="1" ht="15">
      <c r="A722" s="142" t="s">
        <v>272</v>
      </c>
      <c r="B722" s="142"/>
      <c r="C722" s="143">
        <v>315</v>
      </c>
      <c r="D722" s="142"/>
      <c r="E722" s="144"/>
      <c r="F722" s="143" t="s">
        <v>271</v>
      </c>
      <c r="G722" s="143"/>
      <c r="H722" s="145"/>
      <c r="I722" s="146">
        <v>263.39</v>
      </c>
      <c r="J722" s="149"/>
      <c r="K722" s="538"/>
      <c r="L722" s="538"/>
    </row>
    <row r="723" spans="1:11" ht="18" customHeight="1">
      <c r="A723" s="692" t="s">
        <v>230</v>
      </c>
      <c r="B723" s="693"/>
      <c r="C723" s="693"/>
      <c r="D723" s="693"/>
      <c r="E723" s="693"/>
      <c r="F723" s="693"/>
      <c r="G723" s="693"/>
      <c r="H723" s="693"/>
      <c r="I723" s="694"/>
      <c r="J723" s="31">
        <v>1575169.43</v>
      </c>
      <c r="K723" s="538">
        <f>1489674.03+27830</f>
        <v>1517504.03</v>
      </c>
    </row>
    <row r="724" spans="1:12" s="5" customFormat="1" ht="15.75">
      <c r="A724" s="691" t="s">
        <v>242</v>
      </c>
      <c r="B724" s="691"/>
      <c r="C724" s="691"/>
      <c r="D724" s="691"/>
      <c r="E724" s="691"/>
      <c r="F724" s="691"/>
      <c r="G724" s="691"/>
      <c r="H724" s="691"/>
      <c r="I724" s="691"/>
      <c r="J724" s="31">
        <f>SUM(J719:J723)</f>
        <v>9998292.43</v>
      </c>
      <c r="K724" s="20">
        <f>1547339.43+27830</f>
        <v>1575169.43</v>
      </c>
      <c r="L724" s="20">
        <f>J723-K723</f>
        <v>57665.39999999991</v>
      </c>
    </row>
    <row r="725" spans="1:10" ht="15">
      <c r="A725" s="3"/>
      <c r="B725" s="3"/>
      <c r="C725" s="12"/>
      <c r="D725" s="3"/>
      <c r="E725" s="53"/>
      <c r="F725" s="12"/>
      <c r="G725" s="12"/>
      <c r="H725" s="14"/>
      <c r="I725" s="134"/>
      <c r="J725" s="14"/>
    </row>
    <row r="726" spans="1:11" ht="19.5" customHeight="1">
      <c r="A726" s="678" t="s">
        <v>253</v>
      </c>
      <c r="B726" s="678"/>
      <c r="C726" s="678"/>
      <c r="D726" s="678"/>
      <c r="E726" s="678"/>
      <c r="F726" s="678"/>
      <c r="G726" s="678"/>
      <c r="H726" s="678"/>
      <c r="I726" s="678"/>
      <c r="J726" s="678"/>
      <c r="K726" s="16">
        <f>J724-8913914.03</f>
        <v>1084378.4000000004</v>
      </c>
    </row>
    <row r="727" spans="1:10" ht="15">
      <c r="A727" s="3"/>
      <c r="B727" s="3"/>
      <c r="C727" s="12"/>
      <c r="D727" s="3"/>
      <c r="E727" s="53"/>
      <c r="F727" s="12"/>
      <c r="G727" s="12"/>
      <c r="H727" s="14"/>
      <c r="I727" s="134"/>
      <c r="J727" s="3"/>
    </row>
    <row r="728" spans="1:12" s="148" customFormat="1" ht="32.25" customHeight="1">
      <c r="A728" s="150" t="s">
        <v>286</v>
      </c>
      <c r="B728" s="143">
        <v>11</v>
      </c>
      <c r="C728" s="143">
        <v>214</v>
      </c>
      <c r="D728" s="143"/>
      <c r="E728" s="143"/>
      <c r="F728" s="143" t="s">
        <v>139</v>
      </c>
      <c r="G728" s="143"/>
      <c r="H728" s="144"/>
      <c r="I728" s="146">
        <v>39.66</v>
      </c>
      <c r="J728" s="631" t="s">
        <v>576</v>
      </c>
      <c r="K728" s="538"/>
      <c r="L728" s="538"/>
    </row>
    <row r="729" spans="1:12" s="5" customFormat="1" ht="33.75" customHeight="1">
      <c r="A729" s="673" t="s">
        <v>596</v>
      </c>
      <c r="B729" s="673"/>
      <c r="C729" s="673"/>
      <c r="D729" s="673"/>
      <c r="E729" s="673"/>
      <c r="F729" s="673"/>
      <c r="G729" s="673"/>
      <c r="H729" s="673"/>
      <c r="I729" s="673"/>
      <c r="J729" s="673"/>
      <c r="K729" s="20"/>
      <c r="L729" s="20"/>
    </row>
    <row r="730" spans="1:12" s="5" customFormat="1" ht="18.75" customHeight="1">
      <c r="A730" s="788"/>
      <c r="B730" s="788"/>
      <c r="C730" s="788"/>
      <c r="D730" s="788"/>
      <c r="E730" s="788"/>
      <c r="F730" s="788"/>
      <c r="G730" s="788"/>
      <c r="H730" s="788"/>
      <c r="I730" s="788"/>
      <c r="J730" s="788"/>
      <c r="K730" s="20"/>
      <c r="L730" s="20"/>
    </row>
    <row r="731" spans="1:10" ht="34.5" customHeight="1">
      <c r="A731" s="789" t="s">
        <v>252</v>
      </c>
      <c r="B731" s="789"/>
      <c r="C731" s="789"/>
      <c r="D731" s="789"/>
      <c r="E731" s="789"/>
      <c r="F731" s="789"/>
      <c r="G731" s="789"/>
      <c r="H731" s="789"/>
      <c r="I731" s="789"/>
      <c r="J731" s="789"/>
    </row>
    <row r="732" spans="1:12" s="5" customFormat="1" ht="24.75" customHeight="1">
      <c r="A732" s="710" t="s">
        <v>212</v>
      </c>
      <c r="B732" s="710"/>
      <c r="C732" s="710"/>
      <c r="D732" s="710"/>
      <c r="E732" s="710"/>
      <c r="F732" s="710"/>
      <c r="G732" s="710"/>
      <c r="H732" s="710"/>
      <c r="I732" s="710"/>
      <c r="J732" s="710"/>
      <c r="L732" s="20"/>
    </row>
    <row r="733" spans="1:12" s="5" customFormat="1" ht="24.75" customHeight="1">
      <c r="A733" s="678" t="s">
        <v>150</v>
      </c>
      <c r="B733" s="678"/>
      <c r="C733" s="678"/>
      <c r="D733" s="678"/>
      <c r="E733" s="678"/>
      <c r="F733" s="678"/>
      <c r="G733" s="678"/>
      <c r="H733" s="678"/>
      <c r="I733" s="678"/>
      <c r="J733" s="678"/>
      <c r="L733" s="20"/>
    </row>
    <row r="734" spans="1:12" s="5" customFormat="1" ht="24.75" customHeight="1">
      <c r="A734" s="43" t="s">
        <v>59</v>
      </c>
      <c r="B734" s="43"/>
      <c r="C734" s="43"/>
      <c r="D734" s="43"/>
      <c r="E734" s="43"/>
      <c r="F734" s="43"/>
      <c r="G734" s="43"/>
      <c r="H734" s="43"/>
      <c r="I734" s="43"/>
      <c r="J734" s="43"/>
      <c r="L734" s="20"/>
    </row>
    <row r="735" spans="1:12" s="5" customFormat="1" ht="24.75" customHeight="1">
      <c r="A735" s="678" t="s">
        <v>151</v>
      </c>
      <c r="B735" s="678"/>
      <c r="C735" s="678"/>
      <c r="D735" s="678"/>
      <c r="E735" s="678"/>
      <c r="F735" s="678"/>
      <c r="G735" s="678"/>
      <c r="H735" s="678"/>
      <c r="I735" s="678"/>
      <c r="J735" s="678"/>
      <c r="L735" s="20"/>
    </row>
    <row r="736" spans="1:12" s="9" customFormat="1" ht="28.5" customHeight="1">
      <c r="A736" s="43"/>
      <c r="B736" s="43"/>
      <c r="C736" s="43"/>
      <c r="D736" s="43"/>
      <c r="E736" s="43"/>
      <c r="F736" s="43"/>
      <c r="G736" s="43"/>
      <c r="H736" s="43"/>
      <c r="I736" s="43"/>
      <c r="J736" s="43"/>
      <c r="L736" s="534"/>
    </row>
    <row r="737" spans="1:12" s="5" customFormat="1" ht="19.5" customHeight="1">
      <c r="A737" s="703" t="s">
        <v>97</v>
      </c>
      <c r="B737" s="703" t="s">
        <v>187</v>
      </c>
      <c r="C737" s="703" t="s">
        <v>188</v>
      </c>
      <c r="D737" s="703"/>
      <c r="E737" s="704" t="s">
        <v>216</v>
      </c>
      <c r="F737" s="681" t="s">
        <v>213</v>
      </c>
      <c r="G737" s="681" t="s">
        <v>170</v>
      </c>
      <c r="H737" s="715" t="s">
        <v>214</v>
      </c>
      <c r="I737" s="713" t="s">
        <v>215</v>
      </c>
      <c r="J737" s="658" t="s">
        <v>172</v>
      </c>
      <c r="L737" s="20"/>
    </row>
    <row r="738" spans="1:12" s="5" customFormat="1" ht="18" customHeight="1">
      <c r="A738" s="681"/>
      <c r="B738" s="681"/>
      <c r="C738" s="36" t="s">
        <v>191</v>
      </c>
      <c r="D738" s="36" t="s">
        <v>192</v>
      </c>
      <c r="E738" s="679"/>
      <c r="F738" s="682"/>
      <c r="G738" s="682"/>
      <c r="H738" s="716"/>
      <c r="I738" s="714"/>
      <c r="J738" s="659"/>
      <c r="L738" s="20"/>
    </row>
    <row r="739" spans="1:12" s="5" customFormat="1" ht="18" customHeight="1">
      <c r="A739" s="4"/>
      <c r="B739" s="681">
        <v>11</v>
      </c>
      <c r="C739" s="10">
        <v>353</v>
      </c>
      <c r="D739" s="4"/>
      <c r="E739" s="11" t="s">
        <v>146</v>
      </c>
      <c r="F739" s="4"/>
      <c r="G739" s="4"/>
      <c r="H739" s="17">
        <v>41.492147272849344</v>
      </c>
      <c r="I739" s="77">
        <v>35.10874000010329</v>
      </c>
      <c r="J739" s="18">
        <f>H739*75</f>
        <v>3111.9110454637007</v>
      </c>
      <c r="L739" s="20"/>
    </row>
    <row r="740" spans="1:12" s="5" customFormat="1" ht="18" customHeight="1">
      <c r="A740" s="4"/>
      <c r="B740" s="749"/>
      <c r="C740" s="10">
        <v>377</v>
      </c>
      <c r="D740" s="4"/>
      <c r="E740" s="11" t="s">
        <v>147</v>
      </c>
      <c r="F740" s="4"/>
      <c r="G740" s="4"/>
      <c r="H740" s="17">
        <v>32.089532968026155</v>
      </c>
      <c r="I740" s="77">
        <v>24.68973851787199</v>
      </c>
      <c r="J740" s="18">
        <f>H740*75</f>
        <v>2406.7149726019616</v>
      </c>
      <c r="L740" s="20"/>
    </row>
    <row r="741" spans="1:12" s="5" customFormat="1" ht="18" customHeight="1">
      <c r="A741" s="4"/>
      <c r="B741" s="749"/>
      <c r="C741" s="10">
        <v>380</v>
      </c>
      <c r="D741" s="4"/>
      <c r="E741" s="11" t="s">
        <v>270</v>
      </c>
      <c r="F741" s="4"/>
      <c r="G741" s="4"/>
      <c r="H741" s="17">
        <v>3.859998863794822</v>
      </c>
      <c r="I741" s="77">
        <v>3.269688628135539</v>
      </c>
      <c r="J741" s="18">
        <f>H741*75</f>
        <v>289.49991478461163</v>
      </c>
      <c r="L741" s="20"/>
    </row>
    <row r="742" spans="1:12" s="46" customFormat="1" ht="18" customHeight="1">
      <c r="A742" s="4"/>
      <c r="B742" s="682"/>
      <c r="C742" s="10">
        <v>378</v>
      </c>
      <c r="D742" s="4"/>
      <c r="E742" s="11" t="s">
        <v>148</v>
      </c>
      <c r="F742" s="4"/>
      <c r="G742" s="4"/>
      <c r="H742" s="17">
        <v>1.4099273345142982</v>
      </c>
      <c r="I742" s="77">
        <v>1.0799113759961163</v>
      </c>
      <c r="J742" s="18">
        <f>H742*75</f>
        <v>105.74455008857237</v>
      </c>
      <c r="L742" s="401"/>
    </row>
    <row r="743" spans="1:12" s="46" customFormat="1" ht="18" customHeight="1">
      <c r="A743" s="794" t="s">
        <v>290</v>
      </c>
      <c r="B743" s="795"/>
      <c r="C743" s="795"/>
      <c r="D743" s="795"/>
      <c r="E743" s="795"/>
      <c r="F743" s="795"/>
      <c r="G743" s="795"/>
      <c r="H743" s="795"/>
      <c r="I743" s="796"/>
      <c r="J743" s="18">
        <f>SUM(J739:J742)</f>
        <v>5913.870482938847</v>
      </c>
      <c r="L743" s="401"/>
    </row>
    <row r="744" spans="1:12" s="5" customFormat="1" ht="15.75">
      <c r="A744" s="691" t="s">
        <v>149</v>
      </c>
      <c r="B744" s="691"/>
      <c r="C744" s="691"/>
      <c r="D744" s="691"/>
      <c r="E744" s="691"/>
      <c r="F744" s="691"/>
      <c r="G744" s="691"/>
      <c r="H744" s="691"/>
      <c r="I744" s="691"/>
      <c r="J744" s="31">
        <v>165266.2077086357</v>
      </c>
      <c r="L744" s="20"/>
    </row>
    <row r="745" spans="1:12" s="5" customFormat="1" ht="27.75" customHeight="1">
      <c r="A745" s="691" t="s">
        <v>242</v>
      </c>
      <c r="B745" s="691"/>
      <c r="C745" s="691"/>
      <c r="D745" s="691"/>
      <c r="E745" s="691"/>
      <c r="F745" s="691"/>
      <c r="G745" s="691"/>
      <c r="H745" s="691"/>
      <c r="I745" s="691"/>
      <c r="J745" s="31">
        <f>J744+J743</f>
        <v>171180.07819157455</v>
      </c>
      <c r="L745" s="20">
        <f>9727.26-5913.87</f>
        <v>3813.3900000000003</v>
      </c>
    </row>
    <row r="746" spans="1:12" ht="49.5" customHeight="1">
      <c r="A746" s="5"/>
      <c r="B746" s="5"/>
      <c r="C746" s="5"/>
      <c r="D746" s="5"/>
      <c r="E746" s="5"/>
      <c r="F746" s="5"/>
      <c r="G746" s="5"/>
      <c r="H746" s="52"/>
      <c r="I746" s="69"/>
      <c r="J746" s="20"/>
      <c r="L746" s="16">
        <f>8423123-7396410</f>
        <v>1026713</v>
      </c>
    </row>
    <row r="747" spans="1:10" ht="24.75" customHeight="1">
      <c r="A747" s="710" t="s">
        <v>249</v>
      </c>
      <c r="B747" s="710"/>
      <c r="C747" s="710"/>
      <c r="D747" s="710"/>
      <c r="E747" s="710"/>
      <c r="F747" s="710"/>
      <c r="G747" s="710"/>
      <c r="H747" s="710"/>
      <c r="I747" s="710"/>
      <c r="J747" s="710"/>
    </row>
    <row r="748" spans="1:10" ht="24.75" customHeight="1">
      <c r="A748" s="678" t="s">
        <v>161</v>
      </c>
      <c r="B748" s="729"/>
      <c r="C748" s="729"/>
      <c r="D748" s="729"/>
      <c r="E748" s="729"/>
      <c r="F748" s="729"/>
      <c r="G748" s="729"/>
      <c r="H748" s="729"/>
      <c r="I748" s="729"/>
      <c r="J748" s="729"/>
    </row>
    <row r="749" spans="1:10" ht="24.75" customHeight="1">
      <c r="A749" s="678" t="s">
        <v>628</v>
      </c>
      <c r="B749" s="729"/>
      <c r="C749" s="729"/>
      <c r="D749" s="729"/>
      <c r="E749" s="729"/>
      <c r="F749" s="729"/>
      <c r="G749" s="729"/>
      <c r="H749" s="729"/>
      <c r="I749" s="729"/>
      <c r="J749" s="729"/>
    </row>
    <row r="750" spans="1:10" ht="24.75" customHeight="1">
      <c r="A750" s="678" t="s">
        <v>75</v>
      </c>
      <c r="B750" s="729"/>
      <c r="C750" s="729"/>
      <c r="D750" s="729"/>
      <c r="E750" s="729"/>
      <c r="F750" s="729"/>
      <c r="G750" s="729"/>
      <c r="H750" s="729"/>
      <c r="I750" s="729"/>
      <c r="J750" s="729"/>
    </row>
    <row r="751" spans="1:12" s="5" customFormat="1" ht="24" customHeight="1">
      <c r="A751" s="43"/>
      <c r="B751" s="44"/>
      <c r="C751" s="44"/>
      <c r="D751" s="44"/>
      <c r="E751" s="44"/>
      <c r="F751" s="44"/>
      <c r="G751" s="44"/>
      <c r="H751" s="44"/>
      <c r="I751" s="44"/>
      <c r="J751" s="44"/>
      <c r="L751" s="20"/>
    </row>
    <row r="752" spans="1:12" s="5" customFormat="1" ht="21.75" customHeight="1">
      <c r="A752" s="681" t="s">
        <v>97</v>
      </c>
      <c r="B752" s="681" t="s">
        <v>187</v>
      </c>
      <c r="C752" s="668" t="s">
        <v>188</v>
      </c>
      <c r="D752" s="669"/>
      <c r="E752" s="679" t="s">
        <v>189</v>
      </c>
      <c r="F752" s="681" t="s">
        <v>169</v>
      </c>
      <c r="G752" s="681" t="s">
        <v>170</v>
      </c>
      <c r="H752" s="676" t="s">
        <v>171</v>
      </c>
      <c r="I752" s="72" t="s">
        <v>190</v>
      </c>
      <c r="J752" s="776" t="s">
        <v>281</v>
      </c>
      <c r="L752" s="20"/>
    </row>
    <row r="753" spans="1:10" ht="27" customHeight="1">
      <c r="A753" s="682"/>
      <c r="B753" s="682"/>
      <c r="C753" s="4" t="s">
        <v>191</v>
      </c>
      <c r="D753" s="4" t="s">
        <v>192</v>
      </c>
      <c r="E753" s="680"/>
      <c r="F753" s="682"/>
      <c r="G753" s="682"/>
      <c r="H753" s="677"/>
      <c r="I753" s="70" t="s">
        <v>193</v>
      </c>
      <c r="J753" s="777"/>
    </row>
    <row r="754" spans="1:10" ht="44.25" customHeight="1">
      <c r="A754" s="644" t="s">
        <v>120</v>
      </c>
      <c r="B754" s="275">
        <v>11</v>
      </c>
      <c r="C754" s="126">
        <v>383</v>
      </c>
      <c r="D754" s="275"/>
      <c r="E754" s="275"/>
      <c r="F754" s="275" t="s">
        <v>256</v>
      </c>
      <c r="G754" s="49"/>
      <c r="H754" s="30"/>
      <c r="I754" s="141">
        <v>6464</v>
      </c>
      <c r="J754" s="491">
        <f>I754*50</f>
        <v>323200</v>
      </c>
    </row>
    <row r="755" spans="1:12" ht="18" customHeight="1">
      <c r="A755" s="692" t="s">
        <v>230</v>
      </c>
      <c r="B755" s="693"/>
      <c r="C755" s="693"/>
      <c r="D755" s="693"/>
      <c r="E755" s="693"/>
      <c r="F755" s="693"/>
      <c r="G755" s="693"/>
      <c r="H755" s="693"/>
      <c r="I755" s="694"/>
      <c r="J755" s="31">
        <v>318451.73</v>
      </c>
      <c r="K755" s="16"/>
      <c r="L755" s="16">
        <v>9793.18</v>
      </c>
    </row>
    <row r="756" spans="1:10" ht="24.75" customHeight="1">
      <c r="A756" s="678" t="s">
        <v>631</v>
      </c>
      <c r="B756" s="729"/>
      <c r="C756" s="729"/>
      <c r="D756" s="729"/>
      <c r="E756" s="729"/>
      <c r="F756" s="729"/>
      <c r="G756" s="729"/>
      <c r="H756" s="729"/>
      <c r="I756" s="729"/>
      <c r="J756" s="729"/>
    </row>
    <row r="757" spans="1:10" ht="24.75" customHeight="1">
      <c r="A757" s="678" t="s">
        <v>628</v>
      </c>
      <c r="B757" s="729"/>
      <c r="C757" s="729"/>
      <c r="D757" s="729"/>
      <c r="E757" s="729"/>
      <c r="F757" s="729"/>
      <c r="G757" s="729"/>
      <c r="H757" s="729"/>
      <c r="I757" s="729"/>
      <c r="J757" s="729"/>
    </row>
    <row r="758" spans="1:10" ht="24.75" customHeight="1">
      <c r="A758" s="678" t="s">
        <v>632</v>
      </c>
      <c r="B758" s="729"/>
      <c r="C758" s="729"/>
      <c r="D758" s="729"/>
      <c r="E758" s="729"/>
      <c r="F758" s="729"/>
      <c r="G758" s="729"/>
      <c r="H758" s="729"/>
      <c r="I758" s="729"/>
      <c r="J758" s="729"/>
    </row>
    <row r="759" spans="1:11" ht="18" customHeight="1">
      <c r="A759" s="640"/>
      <c r="B759" s="641"/>
      <c r="C759" s="638"/>
      <c r="D759" s="638"/>
      <c r="E759" s="641"/>
      <c r="F759" s="641"/>
      <c r="G759" s="641"/>
      <c r="H759" s="641"/>
      <c r="I759" s="639"/>
      <c r="J759" s="42"/>
      <c r="K759" s="16"/>
    </row>
    <row r="760" spans="1:12" s="5" customFormat="1" ht="21.75" customHeight="1">
      <c r="A760" s="681" t="s">
        <v>97</v>
      </c>
      <c r="B760" s="681" t="s">
        <v>187</v>
      </c>
      <c r="C760" s="668" t="s">
        <v>188</v>
      </c>
      <c r="D760" s="669"/>
      <c r="E760" s="679" t="s">
        <v>189</v>
      </c>
      <c r="F760" s="681" t="s">
        <v>169</v>
      </c>
      <c r="G760" s="681" t="s">
        <v>170</v>
      </c>
      <c r="H760" s="676" t="s">
        <v>171</v>
      </c>
      <c r="I760" s="72" t="s">
        <v>190</v>
      </c>
      <c r="J760" s="776" t="s">
        <v>281</v>
      </c>
      <c r="L760" s="20"/>
    </row>
    <row r="761" spans="1:10" ht="27" customHeight="1">
      <c r="A761" s="682"/>
      <c r="B761" s="682"/>
      <c r="C761" s="4" t="s">
        <v>191</v>
      </c>
      <c r="D761" s="4" t="s">
        <v>192</v>
      </c>
      <c r="E761" s="680"/>
      <c r="F761" s="682"/>
      <c r="G761" s="682"/>
      <c r="H761" s="677"/>
      <c r="I761" s="70" t="s">
        <v>193</v>
      </c>
      <c r="J761" s="777"/>
    </row>
    <row r="762" spans="1:10" ht="47.25" customHeight="1">
      <c r="A762" s="644" t="s">
        <v>629</v>
      </c>
      <c r="B762" s="275">
        <v>11</v>
      </c>
      <c r="C762" s="126">
        <v>458</v>
      </c>
      <c r="D762" s="275"/>
      <c r="E762" s="275"/>
      <c r="F762" s="275" t="s">
        <v>232</v>
      </c>
      <c r="G762" s="27" t="s">
        <v>173</v>
      </c>
      <c r="H762" s="30" t="s">
        <v>630</v>
      </c>
      <c r="I762" s="141">
        <v>25455.33</v>
      </c>
      <c r="J762" s="491">
        <f>I762*100</f>
        <v>2545533</v>
      </c>
    </row>
    <row r="763" spans="1:10" ht="15">
      <c r="A763" s="530"/>
      <c r="B763" s="542"/>
      <c r="C763" s="543"/>
      <c r="D763" s="542"/>
      <c r="E763" s="542"/>
      <c r="F763" s="542"/>
      <c r="G763" s="544"/>
      <c r="H763" s="545"/>
      <c r="I763" s="258"/>
      <c r="J763" s="546"/>
    </row>
    <row r="764" spans="1:10" ht="15">
      <c r="A764" s="530"/>
      <c r="B764" s="542"/>
      <c r="C764" s="543"/>
      <c r="D764" s="542"/>
      <c r="E764" s="542"/>
      <c r="F764" s="542"/>
      <c r="G764" s="544"/>
      <c r="H764" s="545"/>
      <c r="I764" s="258"/>
      <c r="J764" s="546"/>
    </row>
    <row r="765" spans="1:10" ht="26.25">
      <c r="A765" s="710" t="s">
        <v>282</v>
      </c>
      <c r="B765" s="710"/>
      <c r="C765" s="710"/>
      <c r="D765" s="710"/>
      <c r="E765" s="710"/>
      <c r="F765" s="710"/>
      <c r="G765" s="710"/>
      <c r="H765" s="710"/>
      <c r="I765" s="710"/>
      <c r="J765" s="710"/>
    </row>
    <row r="766" spans="1:10" ht="24.75" customHeight="1">
      <c r="A766" s="790"/>
      <c r="B766" s="791"/>
      <c r="C766" s="791"/>
      <c r="D766" s="791"/>
      <c r="E766" s="791"/>
      <c r="F766" s="791"/>
      <c r="G766" s="791"/>
      <c r="H766" s="791"/>
      <c r="I766" s="791"/>
      <c r="J766" s="791"/>
    </row>
    <row r="767" spans="1:10" ht="24.75" customHeight="1">
      <c r="A767" s="678" t="s">
        <v>161</v>
      </c>
      <c r="B767" s="729"/>
      <c r="C767" s="729"/>
      <c r="D767" s="729"/>
      <c r="E767" s="729"/>
      <c r="F767" s="729"/>
      <c r="G767" s="729"/>
      <c r="H767" s="729"/>
      <c r="I767" s="729"/>
      <c r="J767" s="729"/>
    </row>
    <row r="768" spans="1:10" ht="24.75" customHeight="1">
      <c r="A768" s="678" t="s">
        <v>167</v>
      </c>
      <c r="B768" s="729"/>
      <c r="C768" s="729"/>
      <c r="D768" s="729"/>
      <c r="E768" s="729"/>
      <c r="F768" s="729"/>
      <c r="G768" s="729"/>
      <c r="H768" s="729"/>
      <c r="I768" s="729"/>
      <c r="J768" s="729"/>
    </row>
    <row r="769" spans="1:10" ht="24.75" customHeight="1">
      <c r="A769" s="734" t="s">
        <v>168</v>
      </c>
      <c r="B769" s="734"/>
      <c r="C769" s="734"/>
      <c r="D769" s="734"/>
      <c r="E769" s="734"/>
      <c r="F769" s="734"/>
      <c r="G769" s="734"/>
      <c r="H769" s="5"/>
      <c r="I769" s="40"/>
      <c r="J769" s="5"/>
    </row>
    <row r="770" spans="1:12" s="9" customFormat="1" ht="28.5" customHeight="1">
      <c r="A770" s="93"/>
      <c r="B770" s="93"/>
      <c r="C770" s="93"/>
      <c r="D770" s="93"/>
      <c r="E770" s="93"/>
      <c r="F770" s="93"/>
      <c r="G770" s="93"/>
      <c r="H770" s="5"/>
      <c r="I770" s="40"/>
      <c r="J770" s="5"/>
      <c r="L770" s="534"/>
    </row>
    <row r="771" spans="1:12" s="5" customFormat="1" ht="30.75" customHeight="1">
      <c r="A771" s="749" t="s">
        <v>97</v>
      </c>
      <c r="B771" s="749" t="s">
        <v>187</v>
      </c>
      <c r="C771" s="792" t="s">
        <v>188</v>
      </c>
      <c r="D771" s="793"/>
      <c r="E771" s="758" t="s">
        <v>216</v>
      </c>
      <c r="F771" s="681" t="s">
        <v>213</v>
      </c>
      <c r="G771" s="681" t="s">
        <v>170</v>
      </c>
      <c r="H771" s="715" t="s">
        <v>214</v>
      </c>
      <c r="I771" s="713" t="s">
        <v>215</v>
      </c>
      <c r="J771" s="658" t="s">
        <v>172</v>
      </c>
      <c r="L771" s="20"/>
    </row>
    <row r="772" spans="1:12" s="34" customFormat="1" ht="18" customHeight="1">
      <c r="A772" s="682"/>
      <c r="B772" s="682"/>
      <c r="C772" s="4" t="s">
        <v>191</v>
      </c>
      <c r="D772" s="4" t="s">
        <v>192</v>
      </c>
      <c r="E772" s="680"/>
      <c r="F772" s="682"/>
      <c r="G772" s="682"/>
      <c r="H772" s="716"/>
      <c r="I772" s="714"/>
      <c r="J772" s="659"/>
      <c r="L772" s="402"/>
    </row>
    <row r="773" spans="1:10" ht="18" customHeight="1">
      <c r="A773" s="679" t="s">
        <v>70</v>
      </c>
      <c r="B773" s="10">
        <v>11</v>
      </c>
      <c r="C773" s="10">
        <v>459</v>
      </c>
      <c r="D773" s="4"/>
      <c r="E773" s="10" t="s">
        <v>623</v>
      </c>
      <c r="F773" s="4" t="s">
        <v>283</v>
      </c>
      <c r="G773" s="10">
        <v>2</v>
      </c>
      <c r="H773" s="18">
        <v>34.31</v>
      </c>
      <c r="I773" s="77">
        <v>26.4</v>
      </c>
      <c r="J773" s="18">
        <f>H773*75</f>
        <v>2573.25</v>
      </c>
    </row>
    <row r="774" spans="1:10" ht="18" customHeight="1">
      <c r="A774" s="812"/>
      <c r="B774" s="4"/>
      <c r="C774" s="10">
        <v>463</v>
      </c>
      <c r="D774" s="4"/>
      <c r="E774" s="10" t="s">
        <v>624</v>
      </c>
      <c r="F774" s="4" t="s">
        <v>220</v>
      </c>
      <c r="G774" s="10">
        <v>3</v>
      </c>
      <c r="H774" s="91">
        <v>10.69</v>
      </c>
      <c r="I774" s="92">
        <v>9.62</v>
      </c>
      <c r="J774" s="18">
        <f>H774*75</f>
        <v>801.75</v>
      </c>
    </row>
    <row r="775" spans="1:10" ht="18" customHeight="1">
      <c r="A775" s="812"/>
      <c r="B775" s="4"/>
      <c r="C775" s="10">
        <v>465</v>
      </c>
      <c r="D775" s="4"/>
      <c r="E775" s="10" t="s">
        <v>625</v>
      </c>
      <c r="F775" s="4" t="s">
        <v>220</v>
      </c>
      <c r="G775" s="10">
        <v>3</v>
      </c>
      <c r="H775" s="91">
        <v>24.14</v>
      </c>
      <c r="I775" s="92">
        <v>21.73</v>
      </c>
      <c r="J775" s="18">
        <f>H775*75</f>
        <v>1810.5</v>
      </c>
    </row>
    <row r="776" spans="1:10" ht="18" customHeight="1">
      <c r="A776" s="813"/>
      <c r="B776" s="4"/>
      <c r="C776" s="10">
        <v>356</v>
      </c>
      <c r="D776" s="4"/>
      <c r="E776" s="10" t="s">
        <v>626</v>
      </c>
      <c r="F776" s="4" t="s">
        <v>220</v>
      </c>
      <c r="G776" s="10">
        <v>2</v>
      </c>
      <c r="H776" s="91">
        <v>12.42</v>
      </c>
      <c r="I776" s="92">
        <v>10.51</v>
      </c>
      <c r="J776" s="18">
        <f>H776*75</f>
        <v>931.5</v>
      </c>
    </row>
    <row r="777" spans="1:12" ht="48" customHeight="1" thickBot="1">
      <c r="A777" s="691" t="s">
        <v>242</v>
      </c>
      <c r="B777" s="691"/>
      <c r="C777" s="691"/>
      <c r="D777" s="691"/>
      <c r="E777" s="691"/>
      <c r="F777" s="691"/>
      <c r="G777" s="691"/>
      <c r="H777" s="691"/>
      <c r="I777" s="691"/>
      <c r="J777" s="31">
        <f>SUM(J773:J776)</f>
        <v>6117</v>
      </c>
      <c r="L777" s="16">
        <f>6117-3862.5</f>
        <v>2254.5</v>
      </c>
    </row>
    <row r="778" spans="1:10" ht="46.5" thickBot="1" thickTop="1">
      <c r="A778" s="655" t="s">
        <v>7</v>
      </c>
      <c r="B778" s="656"/>
      <c r="C778" s="656"/>
      <c r="D778" s="656"/>
      <c r="E778" s="656"/>
      <c r="F778" s="656"/>
      <c r="G778" s="656"/>
      <c r="H778" s="656"/>
      <c r="I778" s="656"/>
      <c r="J778" s="657"/>
    </row>
    <row r="779" spans="1:10" ht="24.75" customHeight="1" thickTop="1">
      <c r="A779" s="710" t="s">
        <v>481</v>
      </c>
      <c r="B779" s="710"/>
      <c r="C779" s="710"/>
      <c r="D779" s="710"/>
      <c r="E779" s="710"/>
      <c r="F779" s="710"/>
      <c r="G779" s="710"/>
      <c r="H779" s="710"/>
      <c r="I779" s="710"/>
      <c r="J779" s="710"/>
    </row>
    <row r="780" spans="1:10" ht="24.75" customHeight="1">
      <c r="A780" s="678" t="s">
        <v>448</v>
      </c>
      <c r="B780" s="729"/>
      <c r="C780" s="729"/>
      <c r="D780" s="729"/>
      <c r="E780" s="729"/>
      <c r="F780" s="729"/>
      <c r="G780" s="729"/>
      <c r="H780" s="729"/>
      <c r="I780" s="729"/>
      <c r="J780" s="729"/>
    </row>
    <row r="781" spans="1:10" ht="24.75" customHeight="1">
      <c r="A781" s="678" t="s">
        <v>449</v>
      </c>
      <c r="B781" s="729"/>
      <c r="C781" s="729"/>
      <c r="D781" s="729"/>
      <c r="E781" s="729"/>
      <c r="F781" s="729"/>
      <c r="G781" s="729"/>
      <c r="H781" s="729"/>
      <c r="I781" s="729"/>
      <c r="J781" s="729"/>
    </row>
    <row r="782" spans="1:10" ht="24.75" customHeight="1">
      <c r="A782" s="678" t="s">
        <v>482</v>
      </c>
      <c r="B782" s="729"/>
      <c r="C782" s="729"/>
      <c r="D782" s="729"/>
      <c r="E782" s="729"/>
      <c r="F782" s="729"/>
      <c r="G782" s="729"/>
      <c r="H782" s="729"/>
      <c r="I782" s="729"/>
      <c r="J782" s="729"/>
    </row>
    <row r="783" spans="1:12" s="5" customFormat="1" ht="24" customHeight="1">
      <c r="A783" s="44"/>
      <c r="B783" s="44"/>
      <c r="C783" s="44"/>
      <c r="D783" s="44"/>
      <c r="E783" s="44"/>
      <c r="F783" s="44"/>
      <c r="G783" s="44"/>
      <c r="H783" s="44"/>
      <c r="I783" s="44"/>
      <c r="J783" s="44"/>
      <c r="L783" s="20"/>
    </row>
    <row r="784" spans="1:12" s="5" customFormat="1" ht="33" customHeight="1">
      <c r="A784" s="681" t="s">
        <v>97</v>
      </c>
      <c r="B784" s="681" t="s">
        <v>187</v>
      </c>
      <c r="C784" s="668" t="s">
        <v>188</v>
      </c>
      <c r="D784" s="669"/>
      <c r="E784" s="679" t="s">
        <v>189</v>
      </c>
      <c r="F784" s="681" t="s">
        <v>169</v>
      </c>
      <c r="G784" s="681" t="s">
        <v>170</v>
      </c>
      <c r="H784" s="676" t="s">
        <v>171</v>
      </c>
      <c r="I784" s="72" t="s">
        <v>190</v>
      </c>
      <c r="J784" s="776" t="s">
        <v>450</v>
      </c>
      <c r="L784" s="20"/>
    </row>
    <row r="785" spans="1:12" ht="15">
      <c r="A785" s="682"/>
      <c r="B785" s="682"/>
      <c r="C785" s="4" t="s">
        <v>191</v>
      </c>
      <c r="D785" s="4" t="s">
        <v>192</v>
      </c>
      <c r="E785" s="680"/>
      <c r="F785" s="682"/>
      <c r="G785" s="682"/>
      <c r="H785" s="677"/>
      <c r="I785" s="70" t="s">
        <v>193</v>
      </c>
      <c r="J785" s="777"/>
      <c r="L785" s="16">
        <f>221861.63+592516.14</f>
        <v>814377.77</v>
      </c>
    </row>
    <row r="786" spans="1:12" ht="45">
      <c r="A786" s="28" t="s">
        <v>479</v>
      </c>
      <c r="B786" s="27">
        <v>8</v>
      </c>
      <c r="C786" s="32">
        <v>528</v>
      </c>
      <c r="D786" s="49"/>
      <c r="E786" s="49"/>
      <c r="F786" s="27" t="s">
        <v>232</v>
      </c>
      <c r="G786" s="27" t="s">
        <v>173</v>
      </c>
      <c r="H786" s="27" t="s">
        <v>480</v>
      </c>
      <c r="I786" s="141">
        <v>3699.07</v>
      </c>
      <c r="J786" s="491">
        <f>I786*100</f>
        <v>369907</v>
      </c>
      <c r="L786" s="16">
        <f>222732.71+592516.14</f>
        <v>815248.85</v>
      </c>
    </row>
    <row r="787" spans="1:10" ht="15">
      <c r="A787" s="492"/>
      <c r="B787" s="493"/>
      <c r="C787" s="494"/>
      <c r="D787" s="495"/>
      <c r="E787" s="495"/>
      <c r="F787" s="493"/>
      <c r="G787" s="493"/>
      <c r="H787" s="493"/>
      <c r="I787" s="466"/>
      <c r="J787" s="56"/>
    </row>
    <row r="788" spans="1:12" ht="18" customHeight="1">
      <c r="A788" s="692" t="s">
        <v>230</v>
      </c>
      <c r="B788" s="693"/>
      <c r="C788" s="693"/>
      <c r="D788" s="693"/>
      <c r="E788" s="693"/>
      <c r="F788" s="693"/>
      <c r="G788" s="693"/>
      <c r="H788" s="693"/>
      <c r="I788" s="694"/>
      <c r="J788" s="31">
        <v>816119.93</v>
      </c>
      <c r="K788" s="16"/>
      <c r="L788" s="16">
        <f>J788-814377.77</f>
        <v>1742.1600000000326</v>
      </c>
    </row>
    <row r="789" spans="1:11" ht="24.75" customHeight="1">
      <c r="A789" s="37"/>
      <c r="B789" s="37"/>
      <c r="C789" s="37"/>
      <c r="D789" s="37"/>
      <c r="E789" s="37"/>
      <c r="F789" s="37"/>
      <c r="G789" s="37"/>
      <c r="H789" s="37"/>
      <c r="I789" s="37"/>
      <c r="J789" s="39"/>
      <c r="K789" s="16"/>
    </row>
    <row r="790" spans="1:11" ht="36" customHeight="1" thickBot="1">
      <c r="A790" s="814" t="s">
        <v>600</v>
      </c>
      <c r="B790" s="815"/>
      <c r="C790" s="815"/>
      <c r="D790" s="815"/>
      <c r="E790" s="815"/>
      <c r="F790" s="815"/>
      <c r="G790" s="815"/>
      <c r="H790" s="815"/>
      <c r="I790" s="815"/>
      <c r="J790" s="815"/>
      <c r="K790" s="16"/>
    </row>
    <row r="791" spans="1:10" ht="49.5" customHeight="1" thickBot="1" thickTop="1">
      <c r="A791" s="655" t="s">
        <v>160</v>
      </c>
      <c r="B791" s="656"/>
      <c r="C791" s="656"/>
      <c r="D791" s="656"/>
      <c r="E791" s="656"/>
      <c r="F791" s="656"/>
      <c r="G791" s="656"/>
      <c r="H791" s="656"/>
      <c r="I791" s="656"/>
      <c r="J791" s="657"/>
    </row>
    <row r="792" spans="1:10" ht="24.75" customHeight="1" thickTop="1">
      <c r="A792" s="710" t="s">
        <v>249</v>
      </c>
      <c r="B792" s="710"/>
      <c r="C792" s="710"/>
      <c r="D792" s="710"/>
      <c r="E792" s="710"/>
      <c r="F792" s="710"/>
      <c r="G792" s="710"/>
      <c r="H792" s="710"/>
      <c r="I792" s="710"/>
      <c r="J792" s="710"/>
    </row>
    <row r="793" spans="1:10" ht="24.75" customHeight="1">
      <c r="A793" s="678" t="s">
        <v>161</v>
      </c>
      <c r="B793" s="729"/>
      <c r="C793" s="729"/>
      <c r="D793" s="729"/>
      <c r="E793" s="729"/>
      <c r="F793" s="729"/>
      <c r="G793" s="729"/>
      <c r="H793" s="729"/>
      <c r="I793" s="729"/>
      <c r="J793" s="729"/>
    </row>
    <row r="794" spans="1:10" ht="24.75" customHeight="1">
      <c r="A794" s="678" t="s">
        <v>162</v>
      </c>
      <c r="B794" s="729"/>
      <c r="C794" s="729"/>
      <c r="D794" s="729"/>
      <c r="E794" s="729"/>
      <c r="F794" s="729"/>
      <c r="G794" s="729"/>
      <c r="H794" s="729"/>
      <c r="I794" s="729"/>
      <c r="J794" s="729"/>
    </row>
    <row r="795" spans="1:10" ht="24.75" customHeight="1">
      <c r="A795" s="678" t="s">
        <v>163</v>
      </c>
      <c r="B795" s="729"/>
      <c r="C795" s="729"/>
      <c r="D795" s="729"/>
      <c r="E795" s="729"/>
      <c r="F795" s="729"/>
      <c r="G795" s="729"/>
      <c r="H795" s="729"/>
      <c r="I795" s="729"/>
      <c r="J795" s="729"/>
    </row>
    <row r="796" spans="1:10" ht="24.75" customHeight="1">
      <c r="A796" s="729" t="s">
        <v>266</v>
      </c>
      <c r="B796" s="729"/>
      <c r="C796" s="729"/>
      <c r="D796" s="729"/>
      <c r="E796" s="729"/>
      <c r="F796" s="729"/>
      <c r="G796" s="729"/>
      <c r="H796" s="729"/>
      <c r="I796" s="729"/>
      <c r="J796" s="729"/>
    </row>
    <row r="797" spans="1:12" s="5" customFormat="1" ht="24" customHeight="1">
      <c r="A797" s="44"/>
      <c r="B797" s="44"/>
      <c r="C797" s="44"/>
      <c r="D797" s="44"/>
      <c r="E797" s="44"/>
      <c r="F797" s="44"/>
      <c r="G797" s="44"/>
      <c r="H797" s="44"/>
      <c r="I797" s="44"/>
      <c r="J797" s="44"/>
      <c r="L797" s="20"/>
    </row>
    <row r="798" spans="1:12" s="5" customFormat="1" ht="33" customHeight="1">
      <c r="A798" s="681" t="s">
        <v>97</v>
      </c>
      <c r="B798" s="681" t="s">
        <v>187</v>
      </c>
      <c r="C798" s="668" t="s">
        <v>188</v>
      </c>
      <c r="D798" s="669"/>
      <c r="E798" s="679" t="s">
        <v>189</v>
      </c>
      <c r="F798" s="681" t="s">
        <v>169</v>
      </c>
      <c r="G798" s="681" t="s">
        <v>170</v>
      </c>
      <c r="H798" s="676" t="s">
        <v>171</v>
      </c>
      <c r="I798" s="72" t="s">
        <v>190</v>
      </c>
      <c r="J798" s="776" t="s">
        <v>450</v>
      </c>
      <c r="L798" s="20"/>
    </row>
    <row r="799" spans="1:10" ht="15">
      <c r="A799" s="682"/>
      <c r="B799" s="682"/>
      <c r="C799" s="4" t="s">
        <v>191</v>
      </c>
      <c r="D799" s="4" t="s">
        <v>192</v>
      </c>
      <c r="E799" s="680"/>
      <c r="F799" s="682"/>
      <c r="G799" s="682"/>
      <c r="H799" s="677"/>
      <c r="I799" s="70" t="s">
        <v>193</v>
      </c>
      <c r="J799" s="777"/>
    </row>
    <row r="800" spans="1:10" ht="30">
      <c r="A800" s="28" t="s">
        <v>71</v>
      </c>
      <c r="B800" s="29">
        <v>27</v>
      </c>
      <c r="C800" s="48" t="s">
        <v>40</v>
      </c>
      <c r="D800" s="49"/>
      <c r="E800" s="49">
        <v>1</v>
      </c>
      <c r="F800" s="49" t="s">
        <v>234</v>
      </c>
      <c r="G800" s="49" t="s">
        <v>173</v>
      </c>
      <c r="H800" s="30" t="s">
        <v>399</v>
      </c>
      <c r="I800" s="77">
        <v>1983.19</v>
      </c>
      <c r="J800" s="56">
        <f>I800*100</f>
        <v>198319</v>
      </c>
    </row>
    <row r="801" spans="1:10" ht="15">
      <c r="A801" s="492"/>
      <c r="B801" s="531"/>
      <c r="C801" s="540"/>
      <c r="D801" s="495"/>
      <c r="E801" s="495"/>
      <c r="F801" s="495"/>
      <c r="G801" s="495"/>
      <c r="H801" s="541"/>
      <c r="I801" s="466"/>
      <c r="J801" s="56"/>
    </row>
    <row r="802" spans="1:11" ht="15.75">
      <c r="A802" s="692" t="s">
        <v>230</v>
      </c>
      <c r="B802" s="693"/>
      <c r="C802" s="693"/>
      <c r="D802" s="693"/>
      <c r="E802" s="693"/>
      <c r="F802" s="693"/>
      <c r="G802" s="693"/>
      <c r="H802" s="693"/>
      <c r="I802" s="694"/>
      <c r="J802" s="503">
        <v>719308.79</v>
      </c>
      <c r="K802" s="16"/>
    </row>
    <row r="803" spans="1:10" ht="36" customHeight="1" thickBot="1">
      <c r="A803" s="797" t="s">
        <v>568</v>
      </c>
      <c r="B803" s="798"/>
      <c r="C803" s="798"/>
      <c r="D803" s="798"/>
      <c r="E803" s="798"/>
      <c r="F803" s="798"/>
      <c r="G803" s="798"/>
      <c r="H803" s="798"/>
      <c r="I803" s="798"/>
      <c r="J803" s="798"/>
    </row>
    <row r="804" spans="1:12" s="5" customFormat="1" ht="46.5" thickBot="1" thickTop="1">
      <c r="A804" s="655" t="s">
        <v>152</v>
      </c>
      <c r="B804" s="656"/>
      <c r="C804" s="656"/>
      <c r="D804" s="656"/>
      <c r="E804" s="656"/>
      <c r="F804" s="656"/>
      <c r="G804" s="656"/>
      <c r="H804" s="656"/>
      <c r="I804" s="656"/>
      <c r="J804" s="657"/>
      <c r="L804" s="20"/>
    </row>
    <row r="805" spans="1:10" ht="15.75" customHeight="1" thickTop="1">
      <c r="A805" s="5"/>
      <c r="B805" s="5"/>
      <c r="C805" s="5"/>
      <c r="D805" s="5"/>
      <c r="E805" s="5"/>
      <c r="F805" s="5"/>
      <c r="G805" s="5"/>
      <c r="H805" s="52"/>
      <c r="I805" s="69"/>
      <c r="J805" s="20"/>
    </row>
    <row r="806" spans="1:10" ht="37.5" customHeight="1">
      <c r="A806" s="710" t="s">
        <v>247</v>
      </c>
      <c r="B806" s="710"/>
      <c r="C806" s="710"/>
      <c r="D806" s="710"/>
      <c r="E806" s="710"/>
      <c r="F806" s="710"/>
      <c r="G806" s="710"/>
      <c r="H806" s="710"/>
      <c r="I806" s="710"/>
      <c r="J806" s="710"/>
    </row>
    <row r="807" spans="1:10" ht="33" customHeight="1">
      <c r="A807" s="774" t="s">
        <v>107</v>
      </c>
      <c r="B807" s="678"/>
      <c r="C807" s="678"/>
      <c r="D807" s="678"/>
      <c r="E807" s="678"/>
      <c r="F807" s="678"/>
      <c r="G807" s="678"/>
      <c r="H807" s="678"/>
      <c r="I807" s="678"/>
      <c r="J807" s="678"/>
    </row>
    <row r="808" spans="1:10" ht="19.5" customHeight="1">
      <c r="A808" s="43" t="s">
        <v>108</v>
      </c>
      <c r="B808" s="43"/>
      <c r="C808" s="43"/>
      <c r="D808" s="43"/>
      <c r="E808" s="43"/>
      <c r="F808" s="43"/>
      <c r="G808" s="43"/>
      <c r="H808" s="43"/>
      <c r="I808" s="43"/>
      <c r="J808" s="43"/>
    </row>
    <row r="809" spans="1:10" ht="19.5" customHeight="1">
      <c r="A809" s="678" t="s">
        <v>112</v>
      </c>
      <c r="B809" s="678"/>
      <c r="C809" s="678"/>
      <c r="D809" s="678"/>
      <c r="E809" s="678"/>
      <c r="F809" s="678"/>
      <c r="G809" s="678"/>
      <c r="H809" s="678"/>
      <c r="I809" s="678"/>
      <c r="J809" s="678"/>
    </row>
    <row r="810" spans="1:12" s="9" customFormat="1" ht="28.5" customHeight="1">
      <c r="A810" s="43"/>
      <c r="B810" s="43"/>
      <c r="C810" s="43"/>
      <c r="D810" s="43"/>
      <c r="E810" s="43"/>
      <c r="F810" s="43"/>
      <c r="G810" s="43"/>
      <c r="H810" s="43"/>
      <c r="I810" s="43"/>
      <c r="J810" s="43"/>
      <c r="L810" s="534"/>
    </row>
    <row r="811" spans="1:12" s="5" customFormat="1" ht="19.5" customHeight="1">
      <c r="A811" s="703" t="s">
        <v>97</v>
      </c>
      <c r="B811" s="703" t="s">
        <v>187</v>
      </c>
      <c r="C811" s="703" t="s">
        <v>188</v>
      </c>
      <c r="D811" s="703"/>
      <c r="E811" s="704" t="s">
        <v>216</v>
      </c>
      <c r="F811" s="681" t="s">
        <v>213</v>
      </c>
      <c r="G811" s="681" t="s">
        <v>170</v>
      </c>
      <c r="H811" s="715" t="s">
        <v>214</v>
      </c>
      <c r="I811" s="713" t="s">
        <v>215</v>
      </c>
      <c r="J811" s="658" t="s">
        <v>172</v>
      </c>
      <c r="L811" s="20"/>
    </row>
    <row r="812" spans="1:10" ht="18" customHeight="1">
      <c r="A812" s="681"/>
      <c r="B812" s="681"/>
      <c r="C812" s="36" t="s">
        <v>191</v>
      </c>
      <c r="D812" s="36" t="s">
        <v>192</v>
      </c>
      <c r="E812" s="679"/>
      <c r="F812" s="682"/>
      <c r="G812" s="682"/>
      <c r="H812" s="716"/>
      <c r="I812" s="714"/>
      <c r="J812" s="659"/>
    </row>
    <row r="813" spans="1:12" s="1" customFormat="1" ht="37.5" customHeight="1">
      <c r="A813" s="10" t="s">
        <v>109</v>
      </c>
      <c r="B813" s="10">
        <v>4</v>
      </c>
      <c r="C813" s="10">
        <v>524</v>
      </c>
      <c r="D813" s="4"/>
      <c r="E813" s="169">
        <v>0.09861111111111111</v>
      </c>
      <c r="F813" s="48" t="s">
        <v>110</v>
      </c>
      <c r="G813" s="10">
        <v>1</v>
      </c>
      <c r="H813" s="18">
        <v>2.06</v>
      </c>
      <c r="I813" s="77">
        <v>1.38</v>
      </c>
      <c r="J813" s="170" t="s">
        <v>111</v>
      </c>
      <c r="L813" s="85"/>
    </row>
    <row r="814" spans="1:10" ht="33.75" customHeight="1">
      <c r="A814" s="717" t="s">
        <v>242</v>
      </c>
      <c r="B814" s="718"/>
      <c r="C814" s="718"/>
      <c r="D814" s="718"/>
      <c r="E814" s="718"/>
      <c r="F814" s="718"/>
      <c r="G814" s="718"/>
      <c r="H814" s="718"/>
      <c r="I814" s="719"/>
      <c r="J814" s="31">
        <f>SUM(J813)</f>
        <v>0</v>
      </c>
    </row>
    <row r="815" spans="1:10" ht="29.25" customHeight="1">
      <c r="A815" s="44"/>
      <c r="B815" s="44"/>
      <c r="C815" s="44"/>
      <c r="D815" s="44"/>
      <c r="E815" s="44"/>
      <c r="F815" s="44"/>
      <c r="G815" s="44"/>
      <c r="H815" s="44"/>
      <c r="I815" s="44"/>
      <c r="J815" s="44"/>
    </row>
    <row r="816" spans="1:12" s="5" customFormat="1" ht="25.5" customHeight="1">
      <c r="A816" s="710" t="s">
        <v>249</v>
      </c>
      <c r="B816" s="710"/>
      <c r="C816" s="710"/>
      <c r="D816" s="710"/>
      <c r="E816" s="710"/>
      <c r="F816" s="710"/>
      <c r="G816" s="710"/>
      <c r="H816" s="710"/>
      <c r="I816" s="710"/>
      <c r="J816" s="710"/>
      <c r="L816" s="20"/>
    </row>
    <row r="817" spans="1:12" s="5" customFormat="1" ht="19.5" customHeight="1">
      <c r="A817" s="678" t="s">
        <v>572</v>
      </c>
      <c r="B817" s="729"/>
      <c r="C817" s="729"/>
      <c r="D817" s="729"/>
      <c r="E817" s="729"/>
      <c r="F817" s="729"/>
      <c r="G817" s="729"/>
      <c r="H817" s="729"/>
      <c r="I817" s="729"/>
      <c r="J817" s="729"/>
      <c r="L817" s="20"/>
    </row>
    <row r="818" spans="1:12" s="5" customFormat="1" ht="19.5" customHeight="1">
      <c r="A818" s="678" t="s">
        <v>114</v>
      </c>
      <c r="B818" s="729"/>
      <c r="C818" s="729"/>
      <c r="D818" s="729"/>
      <c r="E818" s="729"/>
      <c r="F818" s="729"/>
      <c r="G818" s="729"/>
      <c r="H818" s="729"/>
      <c r="I818" s="729"/>
      <c r="J818" s="729"/>
      <c r="L818" s="20"/>
    </row>
    <row r="819" spans="1:12" s="5" customFormat="1" ht="19.5" customHeight="1">
      <c r="A819" s="678" t="s">
        <v>113</v>
      </c>
      <c r="B819" s="729"/>
      <c r="C819" s="729"/>
      <c r="D819" s="729"/>
      <c r="E819" s="729"/>
      <c r="F819" s="729"/>
      <c r="G819" s="729"/>
      <c r="H819" s="729"/>
      <c r="I819" s="729"/>
      <c r="J819" s="729"/>
      <c r="L819" s="20"/>
    </row>
    <row r="820" spans="1:12" s="5" customFormat="1" ht="24" customHeight="1">
      <c r="A820" s="43"/>
      <c r="B820" s="44"/>
      <c r="C820" s="44"/>
      <c r="D820" s="44"/>
      <c r="E820" s="44"/>
      <c r="F820" s="44"/>
      <c r="G820" s="44"/>
      <c r="H820" s="44"/>
      <c r="I820" s="44"/>
      <c r="J820" s="44"/>
      <c r="L820" s="20"/>
    </row>
    <row r="821" spans="1:12" s="5" customFormat="1" ht="33" customHeight="1">
      <c r="A821" s="681" t="s">
        <v>97</v>
      </c>
      <c r="B821" s="681" t="s">
        <v>187</v>
      </c>
      <c r="C821" s="668" t="s">
        <v>188</v>
      </c>
      <c r="D821" s="669"/>
      <c r="E821" s="679" t="s">
        <v>189</v>
      </c>
      <c r="F821" s="681" t="s">
        <v>169</v>
      </c>
      <c r="G821" s="681" t="s">
        <v>170</v>
      </c>
      <c r="H821" s="676" t="s">
        <v>171</v>
      </c>
      <c r="I821" s="72" t="s">
        <v>190</v>
      </c>
      <c r="J821" s="776" t="s">
        <v>281</v>
      </c>
      <c r="L821" s="20"/>
    </row>
    <row r="822" spans="1:12" s="5" customFormat="1" ht="15">
      <c r="A822" s="682"/>
      <c r="B822" s="682"/>
      <c r="C822" s="4" t="s">
        <v>191</v>
      </c>
      <c r="D822" s="4" t="s">
        <v>192</v>
      </c>
      <c r="E822" s="680"/>
      <c r="F822" s="682"/>
      <c r="G822" s="682"/>
      <c r="H822" s="677"/>
      <c r="I822" s="70" t="s">
        <v>193</v>
      </c>
      <c r="J822" s="777"/>
      <c r="L822" s="20"/>
    </row>
    <row r="823" spans="1:10" ht="30" customHeight="1">
      <c r="A823" s="110" t="s">
        <v>291</v>
      </c>
      <c r="B823" s="136">
        <v>4</v>
      </c>
      <c r="C823" s="29">
        <v>524</v>
      </c>
      <c r="D823" s="48">
        <v>1</v>
      </c>
      <c r="E823" s="29"/>
      <c r="F823" s="29" t="s">
        <v>234</v>
      </c>
      <c r="G823" s="49" t="s">
        <v>173</v>
      </c>
      <c r="H823" s="30" t="s">
        <v>3</v>
      </c>
      <c r="I823" s="133">
        <v>1515.91</v>
      </c>
      <c r="J823" s="50">
        <f>I823*100</f>
        <v>151591</v>
      </c>
    </row>
    <row r="824" spans="1:10" ht="30">
      <c r="A824" s="139" t="s">
        <v>292</v>
      </c>
      <c r="B824" s="29"/>
      <c r="C824" s="29"/>
      <c r="D824" s="48">
        <v>2</v>
      </c>
      <c r="E824" s="29"/>
      <c r="F824" s="29" t="s">
        <v>234</v>
      </c>
      <c r="G824" s="49" t="s">
        <v>173</v>
      </c>
      <c r="H824" s="30" t="s">
        <v>2</v>
      </c>
      <c r="I824" s="133">
        <v>1083.32</v>
      </c>
      <c r="J824" s="50">
        <f>I824*100</f>
        <v>108332</v>
      </c>
    </row>
    <row r="825" spans="1:10" ht="15">
      <c r="A825" s="139"/>
      <c r="B825" s="29"/>
      <c r="C825" s="29">
        <v>511</v>
      </c>
      <c r="D825" s="48"/>
      <c r="E825" s="29"/>
      <c r="F825" s="29"/>
      <c r="G825" s="49"/>
      <c r="H825" s="30"/>
      <c r="I825" s="133"/>
      <c r="J825" s="50"/>
    </row>
    <row r="826" spans="1:10" ht="15.75">
      <c r="A826" s="691" t="s">
        <v>242</v>
      </c>
      <c r="B826" s="691"/>
      <c r="C826" s="691"/>
      <c r="D826" s="691"/>
      <c r="E826" s="691"/>
      <c r="F826" s="691"/>
      <c r="G826" s="691"/>
      <c r="H826" s="691"/>
      <c r="I826" s="691"/>
      <c r="J826" s="31">
        <f>SUM(J823:J825)</f>
        <v>259923</v>
      </c>
    </row>
    <row r="827" spans="1:12" s="5" customFormat="1" ht="25.5" customHeight="1">
      <c r="A827" s="710" t="s">
        <v>249</v>
      </c>
      <c r="B827" s="710"/>
      <c r="C827" s="710"/>
      <c r="D827" s="710"/>
      <c r="E827" s="710"/>
      <c r="F827" s="710"/>
      <c r="G827" s="710"/>
      <c r="H827" s="710"/>
      <c r="I827" s="710"/>
      <c r="J827" s="710"/>
      <c r="L827" s="20"/>
    </row>
    <row r="828" spans="1:12" s="5" customFormat="1" ht="19.5" customHeight="1">
      <c r="A828" s="678" t="s">
        <v>157</v>
      </c>
      <c r="B828" s="729"/>
      <c r="C828" s="729"/>
      <c r="D828" s="729"/>
      <c r="E828" s="729"/>
      <c r="F828" s="729"/>
      <c r="G828" s="729"/>
      <c r="H828" s="729"/>
      <c r="I828" s="729"/>
      <c r="J828" s="729"/>
      <c r="L828" s="20"/>
    </row>
    <row r="829" spans="1:12" s="5" customFormat="1" ht="19.5" customHeight="1">
      <c r="A829" s="678" t="s">
        <v>559</v>
      </c>
      <c r="B829" s="729"/>
      <c r="C829" s="729"/>
      <c r="D829" s="729"/>
      <c r="E829" s="729"/>
      <c r="F829" s="729"/>
      <c r="G829" s="729"/>
      <c r="H829" s="729"/>
      <c r="I829" s="729"/>
      <c r="J829" s="729"/>
      <c r="L829" s="20"/>
    </row>
    <row r="830" spans="1:12" s="5" customFormat="1" ht="19.5" customHeight="1">
      <c r="A830" s="678" t="s">
        <v>20</v>
      </c>
      <c r="B830" s="729"/>
      <c r="C830" s="729"/>
      <c r="D830" s="729"/>
      <c r="E830" s="729"/>
      <c r="F830" s="729"/>
      <c r="G830" s="729"/>
      <c r="H830" s="729"/>
      <c r="I830" s="729"/>
      <c r="J830" s="729"/>
      <c r="L830" s="20"/>
    </row>
    <row r="831" spans="1:12" s="5" customFormat="1" ht="24" customHeight="1">
      <c r="A831" s="43"/>
      <c r="B831" s="44"/>
      <c r="C831" s="44"/>
      <c r="D831" s="44"/>
      <c r="E831" s="44"/>
      <c r="F831" s="44"/>
      <c r="G831" s="44"/>
      <c r="H831" s="44"/>
      <c r="I831" s="44"/>
      <c r="J831" s="44"/>
      <c r="L831" s="20"/>
    </row>
    <row r="832" spans="1:12" s="5" customFormat="1" ht="33" customHeight="1">
      <c r="A832" s="681" t="s">
        <v>97</v>
      </c>
      <c r="B832" s="681" t="s">
        <v>187</v>
      </c>
      <c r="C832" s="668" t="s">
        <v>188</v>
      </c>
      <c r="D832" s="669"/>
      <c r="E832" s="679" t="s">
        <v>189</v>
      </c>
      <c r="F832" s="681" t="s">
        <v>169</v>
      </c>
      <c r="G832" s="681" t="s">
        <v>170</v>
      </c>
      <c r="H832" s="676" t="s">
        <v>171</v>
      </c>
      <c r="I832" s="72" t="s">
        <v>190</v>
      </c>
      <c r="J832" s="776" t="s">
        <v>281</v>
      </c>
      <c r="L832" s="20"/>
    </row>
    <row r="833" spans="1:12" s="5" customFormat="1" ht="18" customHeight="1">
      <c r="A833" s="682"/>
      <c r="B833" s="682"/>
      <c r="C833" s="4" t="s">
        <v>191</v>
      </c>
      <c r="D833" s="4" t="s">
        <v>192</v>
      </c>
      <c r="E833" s="680"/>
      <c r="F833" s="682"/>
      <c r="G833" s="682"/>
      <c r="H833" s="677"/>
      <c r="I833" s="70" t="s">
        <v>193</v>
      </c>
      <c r="J833" s="777"/>
      <c r="L833" s="20"/>
    </row>
    <row r="834" spans="1:12" s="5" customFormat="1" ht="30">
      <c r="A834" s="48" t="s">
        <v>115</v>
      </c>
      <c r="B834" s="10">
        <v>4</v>
      </c>
      <c r="C834" s="10">
        <v>611</v>
      </c>
      <c r="D834" s="10"/>
      <c r="E834" s="10"/>
      <c r="F834" s="10" t="s">
        <v>232</v>
      </c>
      <c r="G834" s="10" t="s">
        <v>173</v>
      </c>
      <c r="H834" s="11" t="s">
        <v>153</v>
      </c>
      <c r="I834" s="86">
        <v>8589.72</v>
      </c>
      <c r="J834" s="18">
        <f>I834*100</f>
        <v>858971.9999999999</v>
      </c>
      <c r="L834" s="20"/>
    </row>
    <row r="835" spans="1:10" ht="15.75">
      <c r="A835" s="691" t="s">
        <v>242</v>
      </c>
      <c r="B835" s="691"/>
      <c r="C835" s="691"/>
      <c r="D835" s="691"/>
      <c r="E835" s="691"/>
      <c r="F835" s="691"/>
      <c r="G835" s="691"/>
      <c r="H835" s="691"/>
      <c r="I835" s="691"/>
      <c r="J835" s="31">
        <v>858972</v>
      </c>
    </row>
    <row r="836" spans="1:10" ht="15.75">
      <c r="A836" s="37"/>
      <c r="B836" s="37"/>
      <c r="C836" s="37"/>
      <c r="D836" s="37"/>
      <c r="E836" s="37"/>
      <c r="F836" s="37"/>
      <c r="G836" s="37"/>
      <c r="H836" s="37"/>
      <c r="I836" s="37"/>
      <c r="J836" s="39"/>
    </row>
    <row r="837" spans="1:12" s="5" customFormat="1" ht="15.75">
      <c r="A837" s="688" t="s">
        <v>504</v>
      </c>
      <c r="B837" s="689"/>
      <c r="C837" s="689"/>
      <c r="D837" s="689"/>
      <c r="E837" s="689"/>
      <c r="F837" s="689"/>
      <c r="G837" s="689"/>
      <c r="H837" s="689"/>
      <c r="I837" s="690"/>
      <c r="J837" s="31">
        <v>2776.95</v>
      </c>
      <c r="L837" s="20"/>
    </row>
    <row r="838" spans="1:12" s="5" customFormat="1" ht="27.75" customHeight="1">
      <c r="A838" s="691" t="s">
        <v>242</v>
      </c>
      <c r="B838" s="691"/>
      <c r="C838" s="691"/>
      <c r="D838" s="691"/>
      <c r="E838" s="691"/>
      <c r="F838" s="691"/>
      <c r="G838" s="691"/>
      <c r="H838" s="691"/>
      <c r="I838" s="691"/>
      <c r="J838" s="31">
        <f>J837+J835</f>
        <v>861748.95</v>
      </c>
      <c r="K838" s="20">
        <f>J838-J837</f>
        <v>858972</v>
      </c>
      <c r="L838" s="20"/>
    </row>
    <row r="839" spans="1:12" s="5" customFormat="1" ht="37.5" customHeight="1">
      <c r="A839" s="710" t="s">
        <v>249</v>
      </c>
      <c r="B839" s="710"/>
      <c r="C839" s="710"/>
      <c r="D839" s="710"/>
      <c r="E839" s="710"/>
      <c r="F839" s="710"/>
      <c r="G839" s="710"/>
      <c r="H839" s="710"/>
      <c r="I839" s="710"/>
      <c r="J839" s="710"/>
      <c r="L839" s="20"/>
    </row>
    <row r="840" spans="1:12" s="5" customFormat="1" ht="19.5" customHeight="1">
      <c r="A840" s="678" t="s">
        <v>158</v>
      </c>
      <c r="B840" s="729"/>
      <c r="C840" s="729"/>
      <c r="D840" s="729"/>
      <c r="E840" s="729"/>
      <c r="F840" s="729"/>
      <c r="G840" s="729"/>
      <c r="H840" s="729"/>
      <c r="I840" s="729"/>
      <c r="J840" s="729"/>
      <c r="L840" s="20"/>
    </row>
    <row r="841" spans="1:12" s="5" customFormat="1" ht="19.5" customHeight="1">
      <c r="A841" s="678" t="s">
        <v>116</v>
      </c>
      <c r="B841" s="729"/>
      <c r="C841" s="729"/>
      <c r="D841" s="729"/>
      <c r="E841" s="729"/>
      <c r="F841" s="729"/>
      <c r="G841" s="729"/>
      <c r="H841" s="729"/>
      <c r="I841" s="729"/>
      <c r="J841" s="729"/>
      <c r="L841" s="20"/>
    </row>
    <row r="842" spans="1:12" s="5" customFormat="1" ht="19.5" customHeight="1">
      <c r="A842" s="678" t="s">
        <v>117</v>
      </c>
      <c r="B842" s="729"/>
      <c r="C842" s="729"/>
      <c r="D842" s="729"/>
      <c r="E842" s="729"/>
      <c r="F842" s="729"/>
      <c r="G842" s="729"/>
      <c r="H842" s="729"/>
      <c r="I842" s="729"/>
      <c r="J842" s="729"/>
      <c r="L842" s="20"/>
    </row>
    <row r="843" spans="1:12" s="5" customFormat="1" ht="24" customHeight="1">
      <c r="A843" s="43"/>
      <c r="B843" s="44"/>
      <c r="C843" s="44"/>
      <c r="D843" s="44"/>
      <c r="E843" s="44"/>
      <c r="F843" s="44"/>
      <c r="G843" s="44"/>
      <c r="H843" s="44"/>
      <c r="I843" s="44"/>
      <c r="J843" s="44"/>
      <c r="L843" s="20"/>
    </row>
    <row r="844" spans="1:12" s="5" customFormat="1" ht="33" customHeight="1">
      <c r="A844" s="681" t="s">
        <v>97</v>
      </c>
      <c r="B844" s="681" t="s">
        <v>187</v>
      </c>
      <c r="C844" s="668" t="s">
        <v>188</v>
      </c>
      <c r="D844" s="669"/>
      <c r="E844" s="679" t="s">
        <v>189</v>
      </c>
      <c r="F844" s="681" t="s">
        <v>169</v>
      </c>
      <c r="G844" s="681" t="s">
        <v>170</v>
      </c>
      <c r="H844" s="676" t="s">
        <v>171</v>
      </c>
      <c r="I844" s="72" t="s">
        <v>190</v>
      </c>
      <c r="J844" s="776" t="s">
        <v>281</v>
      </c>
      <c r="L844" s="20"/>
    </row>
    <row r="845" spans="1:12" s="5" customFormat="1" ht="18" customHeight="1">
      <c r="A845" s="682"/>
      <c r="B845" s="682"/>
      <c r="C845" s="4" t="s">
        <v>191</v>
      </c>
      <c r="D845" s="4" t="s">
        <v>192</v>
      </c>
      <c r="E845" s="680"/>
      <c r="F845" s="682"/>
      <c r="G845" s="682"/>
      <c r="H845" s="677"/>
      <c r="I845" s="70" t="s">
        <v>193</v>
      </c>
      <c r="J845" s="777"/>
      <c r="L845" s="20"/>
    </row>
    <row r="846" spans="1:12" s="5" customFormat="1" ht="30">
      <c r="A846" s="48" t="s">
        <v>118</v>
      </c>
      <c r="B846" s="10">
        <v>3</v>
      </c>
      <c r="C846" s="10">
        <v>241</v>
      </c>
      <c r="D846" s="10"/>
      <c r="E846" s="10"/>
      <c r="F846" s="10" t="s">
        <v>234</v>
      </c>
      <c r="G846" s="10" t="s">
        <v>173</v>
      </c>
      <c r="H846" s="11" t="s">
        <v>154</v>
      </c>
      <c r="I846" s="86">
        <v>2263.32</v>
      </c>
      <c r="J846" s="18">
        <f>I846*100</f>
        <v>226332.00000000003</v>
      </c>
      <c r="L846" s="20"/>
    </row>
    <row r="847" spans="1:10" ht="15.75">
      <c r="A847" s="691" t="s">
        <v>242</v>
      </c>
      <c r="B847" s="691"/>
      <c r="C847" s="691"/>
      <c r="D847" s="691"/>
      <c r="E847" s="691"/>
      <c r="F847" s="691"/>
      <c r="G847" s="691"/>
      <c r="H847" s="691"/>
      <c r="I847" s="691"/>
      <c r="J847" s="31">
        <v>226332</v>
      </c>
    </row>
    <row r="848" spans="9:12" s="5" customFormat="1" ht="32.25" customHeight="1">
      <c r="I848" s="40"/>
      <c r="L848" s="20"/>
    </row>
    <row r="849" spans="1:10" ht="48" customHeight="1" thickBot="1">
      <c r="A849" s="774"/>
      <c r="B849" s="808"/>
      <c r="C849" s="808"/>
      <c r="D849" s="808"/>
      <c r="E849" s="808"/>
      <c r="F849" s="808"/>
      <c r="G849" s="808"/>
      <c r="H849" s="808"/>
      <c r="I849" s="808"/>
      <c r="J849" s="808"/>
    </row>
    <row r="850" spans="1:10" ht="49.5" customHeight="1" thickBot="1" thickTop="1">
      <c r="A850" s="809" t="s">
        <v>159</v>
      </c>
      <c r="B850" s="810"/>
      <c r="C850" s="810"/>
      <c r="D850" s="810"/>
      <c r="E850" s="810"/>
      <c r="F850" s="810"/>
      <c r="G850" s="810"/>
      <c r="H850" s="810"/>
      <c r="I850" s="810"/>
      <c r="J850" s="811"/>
    </row>
    <row r="851" spans="1:10" ht="51.75" customHeight="1" thickTop="1">
      <c r="A851" s="705" t="s">
        <v>185</v>
      </c>
      <c r="B851" s="705"/>
      <c r="C851" s="705"/>
      <c r="D851" s="705"/>
      <c r="E851" s="705"/>
      <c r="F851" s="705"/>
      <c r="G851" s="705"/>
      <c r="H851" s="705"/>
      <c r="I851" s="705"/>
      <c r="J851" s="705"/>
    </row>
    <row r="852" spans="1:10" ht="51.75" customHeight="1">
      <c r="A852" s="267"/>
      <c r="B852" s="267"/>
      <c r="C852" s="267"/>
      <c r="D852" s="267"/>
      <c r="E852" s="267"/>
      <c r="F852" s="267"/>
      <c r="G852" s="267"/>
      <c r="H852" s="267"/>
      <c r="I852" s="267"/>
      <c r="J852" s="267"/>
    </row>
    <row r="853" spans="1:10" ht="19.5" customHeight="1">
      <c r="A853" s="748" t="s">
        <v>255</v>
      </c>
      <c r="B853" s="748"/>
      <c r="C853" s="748"/>
      <c r="D853" s="748"/>
      <c r="E853" s="748"/>
      <c r="F853" s="748"/>
      <c r="G853" s="748"/>
      <c r="H853" s="748"/>
      <c r="I853" s="748"/>
      <c r="J853" s="748"/>
    </row>
    <row r="854" ht="19.5" customHeight="1"/>
    <row r="855" spans="1:9" ht="19.5" customHeight="1">
      <c r="A855" s="671" t="s">
        <v>538</v>
      </c>
      <c r="B855" s="671"/>
      <c r="C855" s="671"/>
      <c r="D855" s="671"/>
      <c r="E855" s="671"/>
      <c r="F855" s="671"/>
      <c r="G855" s="671"/>
      <c r="H855" s="671"/>
      <c r="I855" s="671"/>
    </row>
    <row r="856" ht="19.5" customHeight="1"/>
    <row r="857" spans="1:10" ht="19.5" customHeight="1">
      <c r="A857" s="671" t="s">
        <v>537</v>
      </c>
      <c r="B857" s="671"/>
      <c r="C857" s="671"/>
      <c r="D857" s="671"/>
      <c r="E857" s="671"/>
      <c r="F857" s="671"/>
      <c r="G857" s="671"/>
      <c r="H857" s="671"/>
      <c r="I857" s="671"/>
      <c r="J857" s="671"/>
    </row>
    <row r="858" spans="1:10" ht="18">
      <c r="A858" s="13"/>
      <c r="B858" s="13"/>
      <c r="C858" s="13"/>
      <c r="D858" s="13"/>
      <c r="E858" s="13"/>
      <c r="F858" s="13"/>
      <c r="G858" s="13"/>
      <c r="H858" s="13"/>
      <c r="I858" s="13"/>
      <c r="J858" s="13"/>
    </row>
    <row r="859" spans="1:12" s="5" customFormat="1" ht="24.75" customHeight="1">
      <c r="A859" s="681" t="s">
        <v>97</v>
      </c>
      <c r="B859" s="681" t="s">
        <v>187</v>
      </c>
      <c r="C859" s="668" t="s">
        <v>188</v>
      </c>
      <c r="D859" s="669"/>
      <c r="E859" s="679" t="s">
        <v>189</v>
      </c>
      <c r="F859" s="802" t="s">
        <v>169</v>
      </c>
      <c r="G859" s="681" t="s">
        <v>170</v>
      </c>
      <c r="H859" s="676" t="s">
        <v>171</v>
      </c>
      <c r="I859" s="72" t="s">
        <v>190</v>
      </c>
      <c r="J859" s="658" t="s">
        <v>172</v>
      </c>
      <c r="L859" s="20"/>
    </row>
    <row r="860" spans="1:10" ht="19.5" customHeight="1">
      <c r="A860" s="682"/>
      <c r="B860" s="682"/>
      <c r="C860" s="4" t="s">
        <v>191</v>
      </c>
      <c r="D860" s="4" t="s">
        <v>192</v>
      </c>
      <c r="E860" s="680"/>
      <c r="F860" s="803"/>
      <c r="G860" s="682"/>
      <c r="H860" s="677"/>
      <c r="I860" s="70" t="s">
        <v>193</v>
      </c>
      <c r="J860" s="659"/>
    </row>
    <row r="861" spans="1:10" ht="68.25" customHeight="1">
      <c r="A861" s="285" t="s">
        <v>11</v>
      </c>
      <c r="B861" s="10">
        <v>12</v>
      </c>
      <c r="C861" s="10">
        <v>2450</v>
      </c>
      <c r="D861" s="10"/>
      <c r="E861" s="10"/>
      <c r="F861" s="10" t="s">
        <v>256</v>
      </c>
      <c r="G861" s="10"/>
      <c r="H861" s="11"/>
      <c r="I861" s="77">
        <v>19958</v>
      </c>
      <c r="J861" s="18">
        <f>I861*50</f>
        <v>997900</v>
      </c>
    </row>
    <row r="862" spans="1:12" s="5" customFormat="1" ht="19.5" customHeight="1">
      <c r="A862"/>
      <c r="B862"/>
      <c r="C862"/>
      <c r="D862"/>
      <c r="E862"/>
      <c r="F862"/>
      <c r="G862"/>
      <c r="H862"/>
      <c r="I862" s="74"/>
      <c r="J862"/>
      <c r="L862" s="20"/>
    </row>
    <row r="863" spans="1:11" ht="18" customHeight="1">
      <c r="A863" s="692" t="s">
        <v>543</v>
      </c>
      <c r="B863" s="693"/>
      <c r="C863" s="693"/>
      <c r="D863" s="693"/>
      <c r="E863" s="693"/>
      <c r="F863" s="693"/>
      <c r="G863" s="693"/>
      <c r="H863" s="693"/>
      <c r="I863" s="694"/>
      <c r="J863" s="31">
        <v>948645.45</v>
      </c>
      <c r="K863" s="16">
        <f>J863+J864</f>
        <v>1014529.95</v>
      </c>
    </row>
    <row r="864" spans="1:11" ht="18" customHeight="1">
      <c r="A864" s="692" t="s">
        <v>544</v>
      </c>
      <c r="B864" s="693"/>
      <c r="C864" s="693"/>
      <c r="D864" s="693"/>
      <c r="E864" s="693"/>
      <c r="F864" s="693"/>
      <c r="G864" s="693"/>
      <c r="H864" s="693"/>
      <c r="I864" s="694"/>
      <c r="J864" s="31">
        <v>65884.5</v>
      </c>
      <c r="K864" s="16"/>
    </row>
    <row r="865" spans="1:11" ht="18" customHeight="1">
      <c r="A865" s="692" t="s">
        <v>597</v>
      </c>
      <c r="B865" s="693"/>
      <c r="C865" s="693"/>
      <c r="D865" s="693"/>
      <c r="E865" s="693"/>
      <c r="F865" s="693"/>
      <c r="G865" s="693"/>
      <c r="H865" s="693"/>
      <c r="I865" s="694"/>
      <c r="J865" s="31">
        <v>1368.8</v>
      </c>
      <c r="K865" s="16"/>
    </row>
    <row r="866" spans="1:12" s="5" customFormat="1" ht="15.75">
      <c r="A866" s="692" t="s">
        <v>290</v>
      </c>
      <c r="B866" s="693"/>
      <c r="C866" s="693"/>
      <c r="D866" s="693"/>
      <c r="E866" s="693"/>
      <c r="F866" s="693"/>
      <c r="G866" s="693"/>
      <c r="H866" s="693"/>
      <c r="I866" s="694"/>
      <c r="J866" s="31">
        <f>SUM(J863:J865)</f>
        <v>1015898.75</v>
      </c>
      <c r="L866" s="20"/>
    </row>
    <row r="867" spans="1:10" ht="48" customHeight="1" thickBot="1">
      <c r="A867" s="5"/>
      <c r="B867" s="5"/>
      <c r="C867" s="5"/>
      <c r="D867" s="5"/>
      <c r="E867" s="5"/>
      <c r="F867" s="5"/>
      <c r="G867" s="5"/>
      <c r="H867" s="52"/>
      <c r="I867" s="69"/>
      <c r="J867" s="20"/>
    </row>
    <row r="868" spans="1:10" ht="49.5" customHeight="1" thickBot="1" thickTop="1">
      <c r="A868" s="655" t="s">
        <v>258</v>
      </c>
      <c r="B868" s="656"/>
      <c r="C868" s="656"/>
      <c r="D868" s="656"/>
      <c r="E868" s="656"/>
      <c r="F868" s="656"/>
      <c r="G868" s="656"/>
      <c r="H868" s="656"/>
      <c r="I868" s="656"/>
      <c r="J868" s="657"/>
    </row>
    <row r="869" spans="1:10" ht="51.75" customHeight="1" thickTop="1">
      <c r="A869" s="705" t="s">
        <v>185</v>
      </c>
      <c r="B869" s="705"/>
      <c r="C869" s="705"/>
      <c r="D869" s="705"/>
      <c r="E869" s="705"/>
      <c r="F869" s="705"/>
      <c r="G869" s="705"/>
      <c r="H869" s="705"/>
      <c r="I869" s="705"/>
      <c r="J869" s="705"/>
    </row>
    <row r="870" spans="1:10" ht="19.5" customHeight="1">
      <c r="A870" s="748" t="s">
        <v>259</v>
      </c>
      <c r="B870" s="748"/>
      <c r="C870" s="748"/>
      <c r="D870" s="748"/>
      <c r="E870" s="748"/>
      <c r="F870" s="748"/>
      <c r="G870" s="748"/>
      <c r="H870" s="748"/>
      <c r="I870" s="748"/>
      <c r="J870" s="748"/>
    </row>
    <row r="871" spans="1:8" ht="19.5" customHeight="1">
      <c r="A871" s="671" t="s">
        <v>539</v>
      </c>
      <c r="B871" s="671"/>
      <c r="C871" s="671"/>
      <c r="D871" s="671"/>
      <c r="E871" s="671"/>
      <c r="F871" s="671"/>
      <c r="G871" s="671"/>
      <c r="H871" s="671"/>
    </row>
    <row r="872" ht="19.5" customHeight="1"/>
    <row r="873" spans="1:10" ht="19.5" customHeight="1">
      <c r="A873" s="671" t="s">
        <v>136</v>
      </c>
      <c r="B873" s="671"/>
      <c r="C873" s="671"/>
      <c r="D873" s="671"/>
      <c r="E873" s="671"/>
      <c r="F873" s="671"/>
      <c r="G873" s="671"/>
      <c r="H873" s="671"/>
      <c r="I873" s="671"/>
      <c r="J873" s="671"/>
    </row>
    <row r="874" spans="1:10" ht="15" customHeight="1">
      <c r="A874" s="13"/>
      <c r="B874" s="13"/>
      <c r="C874" s="13"/>
      <c r="D874" s="13"/>
      <c r="E874" s="13"/>
      <c r="F874" s="13"/>
      <c r="G874" s="13"/>
      <c r="H874" s="13"/>
      <c r="I874" s="13"/>
      <c r="J874" s="13"/>
    </row>
    <row r="875" spans="1:12" s="5" customFormat="1" ht="33" customHeight="1">
      <c r="A875" s="681" t="s">
        <v>97</v>
      </c>
      <c r="B875" s="681" t="s">
        <v>187</v>
      </c>
      <c r="C875" s="668" t="s">
        <v>188</v>
      </c>
      <c r="D875" s="669"/>
      <c r="E875" s="679" t="s">
        <v>189</v>
      </c>
      <c r="F875" s="802" t="s">
        <v>169</v>
      </c>
      <c r="G875" s="681" t="s">
        <v>170</v>
      </c>
      <c r="H875" s="676" t="s">
        <v>171</v>
      </c>
      <c r="I875" s="72" t="s">
        <v>190</v>
      </c>
      <c r="J875" s="776" t="s">
        <v>281</v>
      </c>
      <c r="L875" s="20"/>
    </row>
    <row r="876" spans="1:10" ht="18" customHeight="1">
      <c r="A876" s="682"/>
      <c r="B876" s="682"/>
      <c r="C876" s="4" t="s">
        <v>191</v>
      </c>
      <c r="D876" s="4" t="s">
        <v>192</v>
      </c>
      <c r="E876" s="680"/>
      <c r="F876" s="803"/>
      <c r="G876" s="682"/>
      <c r="H876" s="677"/>
      <c r="I876" s="70" t="s">
        <v>193</v>
      </c>
      <c r="J876" s="777"/>
    </row>
    <row r="877" spans="1:10" ht="45">
      <c r="A877" s="47" t="s">
        <v>119</v>
      </c>
      <c r="B877" s="10">
        <v>11</v>
      </c>
      <c r="C877" s="10">
        <v>958</v>
      </c>
      <c r="D877" s="10"/>
      <c r="E877" s="10">
        <v>1</v>
      </c>
      <c r="F877" s="10" t="s">
        <v>256</v>
      </c>
      <c r="G877" s="10"/>
      <c r="H877" s="11"/>
      <c r="I877" s="77">
        <v>7037</v>
      </c>
      <c r="J877" s="18">
        <f>I877*50</f>
        <v>351850</v>
      </c>
    </row>
    <row r="878" spans="1:12" s="5" customFormat="1" ht="24.75" customHeight="1">
      <c r="A878" s="527"/>
      <c r="B878" s="528"/>
      <c r="C878" s="528"/>
      <c r="D878" s="528"/>
      <c r="E878" s="528"/>
      <c r="F878" s="528"/>
      <c r="G878" s="528"/>
      <c r="H878" s="528"/>
      <c r="I878" s="529"/>
      <c r="J878" s="31"/>
      <c r="L878" s="20"/>
    </row>
    <row r="879" spans="1:11" ht="18" customHeight="1">
      <c r="A879" s="804" t="s">
        <v>545</v>
      </c>
      <c r="B879" s="805"/>
      <c r="C879" s="805"/>
      <c r="D879" s="805"/>
      <c r="E879" s="805"/>
      <c r="F879" s="805"/>
      <c r="G879" s="805"/>
      <c r="H879" s="805"/>
      <c r="I879" s="806"/>
      <c r="J879" s="42">
        <v>348086.68</v>
      </c>
      <c r="K879" s="16">
        <f>J879+309053.95+27612.38</f>
        <v>684753.01</v>
      </c>
    </row>
    <row r="880" spans="1:11" ht="15.75">
      <c r="A880" s="807" t="s">
        <v>290</v>
      </c>
      <c r="B880" s="807"/>
      <c r="C880" s="807"/>
      <c r="D880" s="807"/>
      <c r="E880" s="807"/>
      <c r="F880" s="807"/>
      <c r="G880" s="807"/>
      <c r="H880" s="807"/>
      <c r="I880" s="807"/>
      <c r="J880" s="31">
        <f>SUM(J879)</f>
        <v>348086.68</v>
      </c>
      <c r="K880" s="16">
        <f>J880-11420.35</f>
        <v>336666.33</v>
      </c>
    </row>
    <row r="881" spans="1:10" ht="36" customHeight="1">
      <c r="A881" s="695"/>
      <c r="B881" s="696"/>
      <c r="C881" s="696"/>
      <c r="D881" s="696"/>
      <c r="E881" s="696"/>
      <c r="F881" s="696"/>
      <c r="G881" s="696"/>
      <c r="H881" s="696"/>
      <c r="I881" s="696"/>
      <c r="J881" s="696"/>
    </row>
    <row r="882" spans="1:10" ht="25.5">
      <c r="A882" s="799" t="s">
        <v>62</v>
      </c>
      <c r="B882" s="800"/>
      <c r="C882" s="800"/>
      <c r="D882" s="800"/>
      <c r="E882" s="800"/>
      <c r="F882" s="800"/>
      <c r="G882" s="800"/>
      <c r="H882" s="800"/>
      <c r="I882" s="800"/>
      <c r="J882" s="801"/>
    </row>
    <row r="883" spans="6:9" ht="12.75">
      <c r="F883"/>
      <c r="H883"/>
      <c r="I883" s="83"/>
    </row>
    <row r="884" spans="1:10" ht="27.75" customHeight="1">
      <c r="A884" s="2" t="s">
        <v>63</v>
      </c>
      <c r="B884" s="2"/>
      <c r="C884" s="2"/>
      <c r="D884" s="2"/>
      <c r="E884" s="2"/>
      <c r="F884" s="2"/>
      <c r="G884" s="2"/>
      <c r="H884" s="2"/>
      <c r="I884" s="83"/>
      <c r="J884" s="19"/>
    </row>
    <row r="885" spans="1:10" ht="42" customHeight="1">
      <c r="A885" s="2"/>
      <c r="B885" s="2"/>
      <c r="C885" s="2"/>
      <c r="D885" s="2"/>
      <c r="E885" s="2"/>
      <c r="F885" s="2"/>
      <c r="G885" s="2"/>
      <c r="H885" s="2"/>
      <c r="I885" s="83"/>
      <c r="J885" s="19"/>
    </row>
    <row r="886" spans="1:10" ht="41.25" customHeight="1">
      <c r="A886" s="686" t="s">
        <v>64</v>
      </c>
      <c r="B886" s="686"/>
      <c r="C886" s="687" t="s">
        <v>12</v>
      </c>
      <c r="D886" s="687"/>
      <c r="E886" s="687"/>
      <c r="F886" s="687"/>
      <c r="G886" s="687"/>
      <c r="H886" s="687"/>
      <c r="I886" s="687"/>
      <c r="J886" s="687"/>
    </row>
    <row r="887" spans="1:12" s="63" customFormat="1" ht="18.75" customHeight="1">
      <c r="A887" s="2"/>
      <c r="B887" s="2"/>
      <c r="C887" s="2"/>
      <c r="D887" s="2"/>
      <c r="E887" s="2"/>
      <c r="F887" s="2"/>
      <c r="G887" s="2"/>
      <c r="H887" s="2"/>
      <c r="I887" s="83"/>
      <c r="J887" s="19"/>
      <c r="L887" s="539"/>
    </row>
    <row r="888" spans="1:10" ht="23.25" customHeight="1">
      <c r="A888" s="698" t="s">
        <v>65</v>
      </c>
      <c r="B888" s="698"/>
      <c r="C888" s="699" t="s">
        <v>499</v>
      </c>
      <c r="D888" s="687"/>
      <c r="E888" s="687"/>
      <c r="F888" s="687"/>
      <c r="G888" s="687"/>
      <c r="H888" s="687"/>
      <c r="I888" s="687"/>
      <c r="J888" s="687"/>
    </row>
    <row r="889" spans="1:10" ht="34.5" customHeight="1">
      <c r="A889" s="2"/>
      <c r="B889" s="2"/>
      <c r="C889" s="670" t="s">
        <v>500</v>
      </c>
      <c r="D889" s="700"/>
      <c r="E889" s="700"/>
      <c r="F889" s="700"/>
      <c r="G889" s="700"/>
      <c r="H889" s="700"/>
      <c r="I889" s="700"/>
      <c r="J889" s="700"/>
    </row>
    <row r="890" spans="1:10" ht="16.5" customHeight="1">
      <c r="A890" s="2"/>
      <c r="B890" s="2"/>
      <c r="C890" s="700"/>
      <c r="D890" s="700"/>
      <c r="E890" s="700"/>
      <c r="F890" s="700"/>
      <c r="G890" s="700"/>
      <c r="H890" s="700"/>
      <c r="I890" s="700"/>
      <c r="J890" s="700"/>
    </row>
    <row r="891" spans="1:10" ht="44.25" customHeight="1">
      <c r="A891" s="2"/>
      <c r="B891" s="2"/>
      <c r="C891" s="701" t="s">
        <v>501</v>
      </c>
      <c r="D891" s="701"/>
      <c r="E891" s="701"/>
      <c r="F891" s="701"/>
      <c r="G891" s="701"/>
      <c r="H891" s="701"/>
      <c r="I891" s="701"/>
      <c r="J891" s="701"/>
    </row>
    <row r="892" spans="1:10" ht="44.25" customHeight="1">
      <c r="A892" s="2"/>
      <c r="B892" s="2"/>
      <c r="C892" s="687" t="s">
        <v>502</v>
      </c>
      <c r="D892" s="687"/>
      <c r="E892" s="687"/>
      <c r="F892" s="687"/>
      <c r="G892" s="687"/>
      <c r="H892" s="687"/>
      <c r="I892" s="687"/>
      <c r="J892" s="687"/>
    </row>
    <row r="893" spans="1:10" ht="28.5" customHeight="1">
      <c r="A893" s="2"/>
      <c r="B893" s="2"/>
      <c r="C893" s="64"/>
      <c r="D893" s="64"/>
      <c r="E893" s="64"/>
      <c r="F893" s="64"/>
      <c r="G893" s="64"/>
      <c r="H893" s="64"/>
      <c r="I893" s="84"/>
      <c r="J893" s="65"/>
    </row>
    <row r="894" spans="1:10" ht="41.25" customHeight="1">
      <c r="A894" s="702" t="s">
        <v>13</v>
      </c>
      <c r="B894" s="702"/>
      <c r="C894" s="702"/>
      <c r="D894" s="702"/>
      <c r="E894" s="702"/>
      <c r="F894" s="702"/>
      <c r="G894" s="702"/>
      <c r="H894" s="702"/>
      <c r="I894" s="702"/>
      <c r="J894" s="702"/>
    </row>
    <row r="895" spans="1:12" s="1" customFormat="1" ht="18">
      <c r="A895" s="2"/>
      <c r="B895" s="2"/>
      <c r="C895" s="2"/>
      <c r="D895" s="2"/>
      <c r="E895" s="2"/>
      <c r="F895" s="2"/>
      <c r="G895" s="2"/>
      <c r="H895" s="2"/>
      <c r="I895" s="83"/>
      <c r="J895" s="19"/>
      <c r="L895" s="85"/>
    </row>
    <row r="896" spans="1:10" ht="18">
      <c r="A896" s="671" t="s">
        <v>69</v>
      </c>
      <c r="B896" s="671"/>
      <c r="C896" s="671"/>
      <c r="D896" s="8" t="s">
        <v>66</v>
      </c>
      <c r="E896" s="8"/>
      <c r="F896" s="8"/>
      <c r="G896" s="8"/>
      <c r="H896" s="8"/>
      <c r="I896" s="85"/>
      <c r="J896" s="66"/>
    </row>
    <row r="897" spans="1:12" s="8" customFormat="1" ht="18">
      <c r="A897"/>
      <c r="B897"/>
      <c r="C897"/>
      <c r="D897"/>
      <c r="E897"/>
      <c r="F897"/>
      <c r="G897"/>
      <c r="H897"/>
      <c r="I897" s="83"/>
      <c r="J897" s="16"/>
      <c r="L897" s="66"/>
    </row>
    <row r="898" spans="1:10" ht="18">
      <c r="A898" s="671" t="s">
        <v>68</v>
      </c>
      <c r="B898" s="671"/>
      <c r="C898" s="671"/>
      <c r="D898" s="8" t="s">
        <v>67</v>
      </c>
      <c r="E898" s="8"/>
      <c r="F898" s="8"/>
      <c r="G898" s="8"/>
      <c r="H898" s="8"/>
      <c r="I898" s="85"/>
      <c r="J898" s="66"/>
    </row>
    <row r="899" spans="1:10" ht="18">
      <c r="A899" s="13"/>
      <c r="B899" s="13"/>
      <c r="C899" s="13"/>
      <c r="D899" s="8"/>
      <c r="E899" s="8"/>
      <c r="F899" s="8"/>
      <c r="G899" s="8"/>
      <c r="H899" s="8"/>
      <c r="I899" s="85"/>
      <c r="J899" s="66"/>
    </row>
    <row r="900" spans="1:12" s="2" customFormat="1" ht="43.5" customHeight="1">
      <c r="A900" s="697" t="s">
        <v>503</v>
      </c>
      <c r="B900" s="697"/>
      <c r="C900" s="697"/>
      <c r="D900" s="697"/>
      <c r="E900" s="697"/>
      <c r="F900" s="697"/>
      <c r="G900" s="697"/>
      <c r="H900" s="697"/>
      <c r="I900" s="697"/>
      <c r="J900" s="697"/>
      <c r="L900" s="19"/>
    </row>
    <row r="901" spans="6:9" ht="12.75">
      <c r="F901"/>
      <c r="H901"/>
      <c r="I901" s="83"/>
    </row>
    <row r="902" spans="1:12" s="5" customFormat="1" ht="15">
      <c r="A902"/>
      <c r="B902"/>
      <c r="C902"/>
      <c r="D902"/>
      <c r="E902"/>
      <c r="F902"/>
      <c r="G902"/>
      <c r="H902"/>
      <c r="I902" s="83"/>
      <c r="J902" s="16"/>
      <c r="L902" s="20"/>
    </row>
    <row r="903" spans="8:12" s="5" customFormat="1" ht="15">
      <c r="H903" s="52"/>
      <c r="I903" s="69"/>
      <c r="J903" s="20"/>
      <c r="L903" s="20"/>
    </row>
    <row r="904" spans="1:10" ht="23.25">
      <c r="A904" s="61"/>
      <c r="B904" s="61"/>
      <c r="C904" s="61"/>
      <c r="D904" s="61"/>
      <c r="E904" s="61"/>
      <c r="F904" s="61"/>
      <c r="G904" s="61"/>
      <c r="H904" s="61"/>
      <c r="I904" s="81"/>
      <c r="J904" s="62"/>
    </row>
    <row r="905" spans="6:9" ht="12.75">
      <c r="F905"/>
      <c r="H905"/>
      <c r="I905" s="82"/>
    </row>
    <row r="906" spans="8:12" s="5" customFormat="1" ht="15">
      <c r="H906" s="52"/>
      <c r="I906" s="69"/>
      <c r="J906" s="20"/>
      <c r="L906" s="20"/>
    </row>
    <row r="907" spans="8:12" s="5" customFormat="1" ht="15">
      <c r="H907" s="52"/>
      <c r="I907" s="69"/>
      <c r="J907" s="20"/>
      <c r="L907" s="20"/>
    </row>
    <row r="908" spans="8:12" s="5" customFormat="1" ht="15">
      <c r="H908" s="52"/>
      <c r="I908" s="69"/>
      <c r="J908" s="20"/>
      <c r="L908" s="20"/>
    </row>
    <row r="909" spans="8:12" s="5" customFormat="1" ht="15">
      <c r="H909" s="52"/>
      <c r="I909" s="69"/>
      <c r="J909" s="20"/>
      <c r="L909" s="20"/>
    </row>
    <row r="910" spans="8:12" s="5" customFormat="1" ht="15">
      <c r="H910" s="52"/>
      <c r="I910" s="69"/>
      <c r="J910" s="20"/>
      <c r="L910" s="20"/>
    </row>
    <row r="911" spans="8:12" s="5" customFormat="1" ht="15">
      <c r="H911" s="52"/>
      <c r="I911" s="69"/>
      <c r="J911" s="20"/>
      <c r="L911" s="20"/>
    </row>
    <row r="912" spans="8:12" s="5" customFormat="1" ht="15">
      <c r="H912" s="52"/>
      <c r="I912" s="69"/>
      <c r="J912" s="20"/>
      <c r="L912" s="20"/>
    </row>
    <row r="913" spans="8:12" s="5" customFormat="1" ht="15">
      <c r="H913" s="52"/>
      <c r="I913" s="69"/>
      <c r="J913" s="20"/>
      <c r="L913" s="20"/>
    </row>
    <row r="914" spans="8:12" s="5" customFormat="1" ht="15">
      <c r="H914" s="52"/>
      <c r="I914" s="69"/>
      <c r="J914" s="20"/>
      <c r="L914" s="20"/>
    </row>
    <row r="915" spans="8:12" s="5" customFormat="1" ht="15">
      <c r="H915" s="52"/>
      <c r="I915" s="69"/>
      <c r="J915" s="20"/>
      <c r="L915" s="20"/>
    </row>
    <row r="916" spans="8:12" s="5" customFormat="1" ht="15">
      <c r="H916" s="52"/>
      <c r="I916" s="69"/>
      <c r="J916" s="20"/>
      <c r="L916" s="20"/>
    </row>
    <row r="917" spans="8:12" s="5" customFormat="1" ht="15">
      <c r="H917" s="52"/>
      <c r="I917" s="69"/>
      <c r="J917" s="20"/>
      <c r="L917" s="20"/>
    </row>
    <row r="918" spans="8:12" s="5" customFormat="1" ht="15">
      <c r="H918" s="52"/>
      <c r="I918" s="69"/>
      <c r="J918" s="20"/>
      <c r="L918" s="20"/>
    </row>
    <row r="919" spans="8:12" s="5" customFormat="1" ht="15">
      <c r="H919" s="52"/>
      <c r="I919" s="69"/>
      <c r="J919" s="20"/>
      <c r="L919" s="20"/>
    </row>
    <row r="920" spans="8:12" s="5" customFormat="1" ht="15">
      <c r="H920" s="52"/>
      <c r="I920" s="69"/>
      <c r="J920" s="20"/>
      <c r="L920" s="20"/>
    </row>
    <row r="921" spans="8:12" s="5" customFormat="1" ht="15">
      <c r="H921" s="52"/>
      <c r="I921" s="69"/>
      <c r="J921" s="20"/>
      <c r="L921" s="20"/>
    </row>
    <row r="922" spans="8:12" s="5" customFormat="1" ht="15">
      <c r="H922" s="52"/>
      <c r="I922" s="69"/>
      <c r="J922" s="20"/>
      <c r="L922" s="20"/>
    </row>
    <row r="923" spans="8:12" s="5" customFormat="1" ht="15">
      <c r="H923" s="52"/>
      <c r="I923" s="69"/>
      <c r="J923" s="20"/>
      <c r="L923" s="20"/>
    </row>
    <row r="924" spans="8:12" s="5" customFormat="1" ht="15">
      <c r="H924" s="52"/>
      <c r="I924" s="69"/>
      <c r="J924" s="20"/>
      <c r="L924" s="20"/>
    </row>
    <row r="925" spans="8:12" s="5" customFormat="1" ht="15">
      <c r="H925" s="52"/>
      <c r="I925" s="69"/>
      <c r="J925" s="20"/>
      <c r="L925" s="20"/>
    </row>
    <row r="926" spans="8:12" s="5" customFormat="1" ht="15">
      <c r="H926" s="52"/>
      <c r="I926" s="69"/>
      <c r="J926" s="20"/>
      <c r="L926" s="20"/>
    </row>
    <row r="927" spans="8:12" s="5" customFormat="1" ht="15">
      <c r="H927" s="52"/>
      <c r="I927" s="69"/>
      <c r="J927" s="20"/>
      <c r="L927" s="20"/>
    </row>
    <row r="928" spans="8:12" s="5" customFormat="1" ht="15">
      <c r="H928" s="52"/>
      <c r="I928" s="69"/>
      <c r="J928" s="20"/>
      <c r="L928" s="20"/>
    </row>
    <row r="929" spans="8:12" s="5" customFormat="1" ht="15">
      <c r="H929" s="52"/>
      <c r="I929" s="69"/>
      <c r="J929" s="20"/>
      <c r="L929" s="20"/>
    </row>
    <row r="930" spans="8:12" s="5" customFormat="1" ht="15">
      <c r="H930" s="52"/>
      <c r="I930" s="69"/>
      <c r="J930" s="20"/>
      <c r="L930" s="20"/>
    </row>
    <row r="931" spans="8:12" s="5" customFormat="1" ht="15">
      <c r="H931" s="52"/>
      <c r="I931" s="69"/>
      <c r="J931" s="20"/>
      <c r="L931" s="20"/>
    </row>
    <row r="932" spans="8:12" s="5" customFormat="1" ht="15">
      <c r="H932" s="52"/>
      <c r="I932" s="69"/>
      <c r="J932" s="20"/>
      <c r="L932" s="20"/>
    </row>
    <row r="933" spans="8:12" s="5" customFormat="1" ht="15">
      <c r="H933" s="52"/>
      <c r="I933" s="69"/>
      <c r="J933" s="20"/>
      <c r="L933" s="20"/>
    </row>
    <row r="934" spans="8:12" s="5" customFormat="1" ht="15">
      <c r="H934" s="52"/>
      <c r="I934" s="69"/>
      <c r="J934" s="20"/>
      <c r="L934" s="20"/>
    </row>
    <row r="935" spans="8:12" s="5" customFormat="1" ht="15">
      <c r="H935" s="52"/>
      <c r="I935" s="69"/>
      <c r="J935" s="20"/>
      <c r="L935" s="20"/>
    </row>
    <row r="936" spans="8:12" s="5" customFormat="1" ht="15">
      <c r="H936" s="52"/>
      <c r="I936" s="69"/>
      <c r="J936" s="20"/>
      <c r="L936" s="20"/>
    </row>
    <row r="937" spans="8:12" s="5" customFormat="1" ht="15">
      <c r="H937" s="52"/>
      <c r="I937" s="69"/>
      <c r="J937" s="20"/>
      <c r="L937" s="20"/>
    </row>
    <row r="938" spans="8:12" s="5" customFormat="1" ht="15">
      <c r="H938" s="52"/>
      <c r="I938" s="69"/>
      <c r="J938" s="20"/>
      <c r="L938" s="20"/>
    </row>
    <row r="939" spans="8:12" s="5" customFormat="1" ht="15">
      <c r="H939" s="52"/>
      <c r="I939" s="69"/>
      <c r="J939" s="20"/>
      <c r="L939" s="20"/>
    </row>
    <row r="940" spans="8:12" s="5" customFormat="1" ht="15">
      <c r="H940" s="52"/>
      <c r="I940" s="69"/>
      <c r="J940" s="20"/>
      <c r="L940" s="20"/>
    </row>
    <row r="941" spans="8:12" s="5" customFormat="1" ht="15">
      <c r="H941" s="52"/>
      <c r="I941" s="69"/>
      <c r="J941" s="20"/>
      <c r="L941" s="20"/>
    </row>
    <row r="942" spans="8:12" s="5" customFormat="1" ht="15">
      <c r="H942" s="52"/>
      <c r="I942" s="69"/>
      <c r="J942" s="20"/>
      <c r="L942" s="20"/>
    </row>
    <row r="943" spans="8:12" s="5" customFormat="1" ht="15">
      <c r="H943" s="52"/>
      <c r="I943" s="69"/>
      <c r="J943" s="20"/>
      <c r="L943" s="20"/>
    </row>
    <row r="944" spans="8:12" s="5" customFormat="1" ht="15">
      <c r="H944" s="52"/>
      <c r="I944" s="69"/>
      <c r="J944" s="20"/>
      <c r="L944" s="20"/>
    </row>
    <row r="945" spans="8:12" s="5" customFormat="1" ht="15">
      <c r="H945" s="52"/>
      <c r="I945" s="69"/>
      <c r="J945" s="20"/>
      <c r="L945" s="20"/>
    </row>
    <row r="946" spans="8:12" s="5" customFormat="1" ht="15">
      <c r="H946" s="52"/>
      <c r="I946" s="69"/>
      <c r="J946" s="20"/>
      <c r="L946" s="20"/>
    </row>
    <row r="947" spans="8:12" s="5" customFormat="1" ht="15">
      <c r="H947" s="52"/>
      <c r="I947" s="69"/>
      <c r="J947" s="20"/>
      <c r="L947" s="20"/>
    </row>
    <row r="948" spans="8:12" s="5" customFormat="1" ht="15">
      <c r="H948" s="52"/>
      <c r="I948" s="69"/>
      <c r="J948" s="20"/>
      <c r="L948" s="20"/>
    </row>
    <row r="949" spans="8:12" s="5" customFormat="1" ht="15">
      <c r="H949" s="52"/>
      <c r="I949" s="69"/>
      <c r="J949" s="20"/>
      <c r="L949" s="20"/>
    </row>
    <row r="950" spans="8:12" s="5" customFormat="1" ht="15">
      <c r="H950" s="52"/>
      <c r="I950" s="69"/>
      <c r="J950" s="20"/>
      <c r="L950" s="20"/>
    </row>
    <row r="951" spans="8:12" s="5" customFormat="1" ht="15">
      <c r="H951" s="52"/>
      <c r="I951" s="69"/>
      <c r="J951" s="20"/>
      <c r="L951" s="20"/>
    </row>
    <row r="952" spans="8:12" s="5" customFormat="1" ht="15">
      <c r="H952" s="52"/>
      <c r="I952" s="69"/>
      <c r="J952" s="20"/>
      <c r="L952" s="20"/>
    </row>
    <row r="953" spans="8:12" s="5" customFormat="1" ht="15">
      <c r="H953" s="52"/>
      <c r="I953" s="69"/>
      <c r="J953" s="20"/>
      <c r="L953" s="20"/>
    </row>
    <row r="954" spans="8:12" s="5" customFormat="1" ht="15">
      <c r="H954" s="52"/>
      <c r="I954" s="69"/>
      <c r="J954" s="20"/>
      <c r="L954" s="20"/>
    </row>
    <row r="955" spans="8:12" s="5" customFormat="1" ht="15">
      <c r="H955" s="52"/>
      <c r="I955" s="69"/>
      <c r="J955" s="20"/>
      <c r="L955" s="20"/>
    </row>
    <row r="956" spans="8:12" s="5" customFormat="1" ht="15">
      <c r="H956" s="52"/>
      <c r="I956" s="69"/>
      <c r="J956" s="20"/>
      <c r="L956" s="20"/>
    </row>
    <row r="957" spans="8:12" s="5" customFormat="1" ht="15">
      <c r="H957" s="52"/>
      <c r="I957" s="69"/>
      <c r="J957" s="20"/>
      <c r="L957" s="20"/>
    </row>
    <row r="958" spans="8:12" s="5" customFormat="1" ht="15">
      <c r="H958" s="52"/>
      <c r="I958" s="69"/>
      <c r="J958" s="20"/>
      <c r="L958" s="20"/>
    </row>
    <row r="959" spans="8:12" s="5" customFormat="1" ht="15">
      <c r="H959" s="52"/>
      <c r="I959" s="69"/>
      <c r="J959" s="20"/>
      <c r="L959" s="20"/>
    </row>
    <row r="960" spans="8:12" s="5" customFormat="1" ht="15">
      <c r="H960" s="52"/>
      <c r="I960" s="69"/>
      <c r="J960" s="20"/>
      <c r="L960" s="20"/>
    </row>
    <row r="961" spans="8:12" s="5" customFormat="1" ht="15">
      <c r="H961" s="52"/>
      <c r="I961" s="69"/>
      <c r="J961" s="20"/>
      <c r="L961" s="20"/>
    </row>
    <row r="962" spans="8:12" s="5" customFormat="1" ht="15">
      <c r="H962" s="52"/>
      <c r="I962" s="69"/>
      <c r="J962" s="20"/>
      <c r="L962" s="20"/>
    </row>
    <row r="963" spans="8:12" s="5" customFormat="1" ht="15">
      <c r="H963" s="52"/>
      <c r="I963" s="69"/>
      <c r="J963" s="20"/>
      <c r="L963" s="20"/>
    </row>
    <row r="964" spans="8:12" s="5" customFormat="1" ht="15">
      <c r="H964" s="52"/>
      <c r="I964" s="69"/>
      <c r="J964" s="20"/>
      <c r="L964" s="20"/>
    </row>
    <row r="965" spans="8:12" s="5" customFormat="1" ht="15">
      <c r="H965" s="52"/>
      <c r="I965" s="69"/>
      <c r="J965" s="20"/>
      <c r="L965" s="20"/>
    </row>
    <row r="966" spans="8:12" s="5" customFormat="1" ht="15">
      <c r="H966" s="52"/>
      <c r="I966" s="69"/>
      <c r="J966" s="20"/>
      <c r="L966" s="20"/>
    </row>
    <row r="967" spans="8:12" s="5" customFormat="1" ht="15">
      <c r="H967" s="52"/>
      <c r="I967" s="69"/>
      <c r="J967" s="20"/>
      <c r="L967" s="20"/>
    </row>
    <row r="968" spans="8:12" s="5" customFormat="1" ht="15">
      <c r="H968" s="52"/>
      <c r="I968" s="69"/>
      <c r="J968" s="20"/>
      <c r="L968" s="20"/>
    </row>
    <row r="969" spans="8:12" s="5" customFormat="1" ht="15">
      <c r="H969" s="52"/>
      <c r="I969" s="69"/>
      <c r="J969" s="20"/>
      <c r="L969" s="20"/>
    </row>
    <row r="970" spans="8:12" s="5" customFormat="1" ht="15">
      <c r="H970" s="52"/>
      <c r="I970" s="69"/>
      <c r="J970" s="20"/>
      <c r="L970" s="20"/>
    </row>
    <row r="971" spans="8:12" s="5" customFormat="1" ht="15">
      <c r="H971" s="52"/>
      <c r="I971" s="69"/>
      <c r="J971" s="20"/>
      <c r="L971" s="20"/>
    </row>
    <row r="972" spans="8:12" s="5" customFormat="1" ht="15">
      <c r="H972" s="52"/>
      <c r="I972" s="69"/>
      <c r="J972" s="20"/>
      <c r="L972" s="20"/>
    </row>
    <row r="973" spans="8:12" s="5" customFormat="1" ht="15">
      <c r="H973" s="52"/>
      <c r="I973" s="69"/>
      <c r="J973" s="20"/>
      <c r="L973" s="20"/>
    </row>
    <row r="974" spans="8:12" s="5" customFormat="1" ht="15">
      <c r="H974" s="52"/>
      <c r="I974" s="69"/>
      <c r="J974" s="20"/>
      <c r="L974" s="20"/>
    </row>
    <row r="975" spans="8:12" s="5" customFormat="1" ht="15">
      <c r="H975" s="52"/>
      <c r="I975" s="69"/>
      <c r="J975" s="20"/>
      <c r="L975" s="20"/>
    </row>
    <row r="976" spans="8:12" s="5" customFormat="1" ht="15">
      <c r="H976" s="52"/>
      <c r="I976" s="69"/>
      <c r="J976" s="20"/>
      <c r="L976" s="20"/>
    </row>
    <row r="977" spans="8:12" s="5" customFormat="1" ht="15">
      <c r="H977" s="52"/>
      <c r="I977" s="69"/>
      <c r="J977" s="20"/>
      <c r="L977" s="20"/>
    </row>
    <row r="978" spans="8:12" s="5" customFormat="1" ht="15">
      <c r="H978" s="52"/>
      <c r="I978" s="69"/>
      <c r="J978" s="20"/>
      <c r="L978" s="20"/>
    </row>
    <row r="979" spans="8:12" s="5" customFormat="1" ht="15">
      <c r="H979" s="52"/>
      <c r="I979" s="69"/>
      <c r="J979" s="20"/>
      <c r="L979" s="20"/>
    </row>
    <row r="980" spans="8:12" s="5" customFormat="1" ht="15">
      <c r="H980" s="52"/>
      <c r="I980" s="69"/>
      <c r="J980" s="20"/>
      <c r="L980" s="20"/>
    </row>
    <row r="981" spans="8:12" s="5" customFormat="1" ht="15">
      <c r="H981" s="52"/>
      <c r="I981" s="69"/>
      <c r="J981" s="20"/>
      <c r="L981" s="20"/>
    </row>
    <row r="982" spans="8:12" s="5" customFormat="1" ht="15">
      <c r="H982" s="52"/>
      <c r="I982" s="69"/>
      <c r="J982" s="20"/>
      <c r="L982" s="20"/>
    </row>
    <row r="983" spans="8:12" s="5" customFormat="1" ht="15">
      <c r="H983" s="52"/>
      <c r="I983" s="69"/>
      <c r="J983" s="20"/>
      <c r="L983" s="20"/>
    </row>
    <row r="984" spans="8:12" s="5" customFormat="1" ht="15">
      <c r="H984" s="52"/>
      <c r="I984" s="69"/>
      <c r="J984" s="20"/>
      <c r="L984" s="20"/>
    </row>
    <row r="985" spans="8:12" s="5" customFormat="1" ht="15">
      <c r="H985" s="52"/>
      <c r="I985" s="69"/>
      <c r="J985" s="20"/>
      <c r="L985" s="20"/>
    </row>
    <row r="986" spans="8:12" s="5" customFormat="1" ht="15">
      <c r="H986" s="52"/>
      <c r="I986" s="69"/>
      <c r="J986" s="20"/>
      <c r="L986" s="20"/>
    </row>
    <row r="987" spans="8:12" s="5" customFormat="1" ht="15">
      <c r="H987" s="52"/>
      <c r="I987" s="69"/>
      <c r="J987" s="20"/>
      <c r="L987" s="20"/>
    </row>
    <row r="988" spans="8:12" s="5" customFormat="1" ht="15">
      <c r="H988" s="52"/>
      <c r="I988" s="69"/>
      <c r="J988" s="20"/>
      <c r="L988" s="20"/>
    </row>
    <row r="989" spans="8:12" s="5" customFormat="1" ht="15">
      <c r="H989" s="52"/>
      <c r="I989" s="69"/>
      <c r="J989" s="20"/>
      <c r="L989" s="20"/>
    </row>
    <row r="990" spans="8:12" s="5" customFormat="1" ht="15">
      <c r="H990" s="52"/>
      <c r="I990" s="69"/>
      <c r="J990" s="20"/>
      <c r="L990" s="20"/>
    </row>
    <row r="991" spans="8:12" s="5" customFormat="1" ht="15">
      <c r="H991" s="52"/>
      <c r="I991" s="69"/>
      <c r="J991" s="20"/>
      <c r="L991" s="20"/>
    </row>
    <row r="992" spans="8:12" s="5" customFormat="1" ht="15">
      <c r="H992" s="52"/>
      <c r="I992" s="69"/>
      <c r="J992" s="20"/>
      <c r="L992" s="20"/>
    </row>
    <row r="993" spans="8:12" s="5" customFormat="1" ht="15">
      <c r="H993" s="52"/>
      <c r="I993" s="69"/>
      <c r="J993" s="20"/>
      <c r="L993" s="20"/>
    </row>
    <row r="994" spans="8:12" s="5" customFormat="1" ht="15">
      <c r="H994" s="52"/>
      <c r="I994" s="69"/>
      <c r="J994" s="20"/>
      <c r="L994" s="20"/>
    </row>
    <row r="995" spans="8:12" s="5" customFormat="1" ht="15">
      <c r="H995" s="52"/>
      <c r="I995" s="69"/>
      <c r="J995" s="20"/>
      <c r="L995" s="20"/>
    </row>
    <row r="996" spans="8:12" s="5" customFormat="1" ht="15">
      <c r="H996" s="52"/>
      <c r="I996" s="69"/>
      <c r="J996" s="20"/>
      <c r="L996" s="20"/>
    </row>
    <row r="997" spans="8:12" s="5" customFormat="1" ht="15">
      <c r="H997" s="52"/>
      <c r="I997" s="69"/>
      <c r="J997" s="20"/>
      <c r="L997" s="20"/>
    </row>
    <row r="998" spans="8:12" s="5" customFormat="1" ht="15">
      <c r="H998" s="52"/>
      <c r="I998" s="69"/>
      <c r="J998" s="20"/>
      <c r="L998" s="20"/>
    </row>
    <row r="999" spans="8:12" s="5" customFormat="1" ht="15">
      <c r="H999" s="52"/>
      <c r="I999" s="69"/>
      <c r="J999" s="20"/>
      <c r="L999" s="20"/>
    </row>
    <row r="1000" spans="8:12" s="5" customFormat="1" ht="15">
      <c r="H1000" s="52"/>
      <c r="I1000" s="69"/>
      <c r="J1000" s="20"/>
      <c r="L1000" s="20"/>
    </row>
    <row r="1001" spans="8:12" s="5" customFormat="1" ht="15">
      <c r="H1001" s="52"/>
      <c r="I1001" s="69"/>
      <c r="J1001" s="20"/>
      <c r="L1001" s="20"/>
    </row>
    <row r="1002" spans="8:12" s="5" customFormat="1" ht="15">
      <c r="H1002" s="52"/>
      <c r="I1002" s="69"/>
      <c r="J1002" s="20"/>
      <c r="L1002" s="20"/>
    </row>
    <row r="1003" spans="8:12" s="5" customFormat="1" ht="15">
      <c r="H1003" s="52"/>
      <c r="I1003" s="69"/>
      <c r="J1003" s="20"/>
      <c r="L1003" s="20"/>
    </row>
    <row r="1004" spans="8:12" s="5" customFormat="1" ht="15">
      <c r="H1004" s="52"/>
      <c r="I1004" s="69"/>
      <c r="J1004" s="20"/>
      <c r="L1004" s="20"/>
    </row>
    <row r="1005" spans="8:12" s="5" customFormat="1" ht="15">
      <c r="H1005" s="52"/>
      <c r="I1005" s="69"/>
      <c r="J1005" s="20"/>
      <c r="L1005" s="20"/>
    </row>
    <row r="1006" spans="8:12" s="5" customFormat="1" ht="15">
      <c r="H1006" s="52"/>
      <c r="I1006" s="69"/>
      <c r="J1006" s="20"/>
      <c r="L1006" s="20"/>
    </row>
    <row r="1007" spans="8:12" s="5" customFormat="1" ht="15">
      <c r="H1007" s="52"/>
      <c r="I1007" s="69"/>
      <c r="J1007" s="20"/>
      <c r="L1007" s="20"/>
    </row>
    <row r="1008" spans="8:12" s="5" customFormat="1" ht="15">
      <c r="H1008" s="52"/>
      <c r="I1008" s="69"/>
      <c r="J1008" s="20"/>
      <c r="L1008" s="20"/>
    </row>
    <row r="1009" spans="8:12" s="5" customFormat="1" ht="15">
      <c r="H1009" s="52"/>
      <c r="I1009" s="69"/>
      <c r="J1009" s="20"/>
      <c r="L1009" s="20"/>
    </row>
    <row r="1010" spans="8:12" s="5" customFormat="1" ht="15">
      <c r="H1010" s="52"/>
      <c r="I1010" s="69"/>
      <c r="J1010" s="20"/>
      <c r="L1010" s="20"/>
    </row>
    <row r="1011" spans="8:12" s="5" customFormat="1" ht="15">
      <c r="H1011" s="52"/>
      <c r="I1011" s="69"/>
      <c r="J1011" s="20"/>
      <c r="L1011" s="20"/>
    </row>
    <row r="1012" spans="8:12" s="5" customFormat="1" ht="15">
      <c r="H1012" s="52"/>
      <c r="I1012" s="69"/>
      <c r="J1012" s="20"/>
      <c r="L1012" s="20"/>
    </row>
    <row r="1013" spans="8:12" s="5" customFormat="1" ht="15">
      <c r="H1013" s="52"/>
      <c r="I1013" s="69"/>
      <c r="J1013" s="20"/>
      <c r="L1013" s="20"/>
    </row>
    <row r="1014" spans="8:12" s="5" customFormat="1" ht="15">
      <c r="H1014" s="52"/>
      <c r="I1014" s="69"/>
      <c r="J1014" s="20"/>
      <c r="L1014" s="20"/>
    </row>
    <row r="1015" spans="8:12" s="5" customFormat="1" ht="15">
      <c r="H1015" s="52"/>
      <c r="I1015" s="69"/>
      <c r="J1015" s="20"/>
      <c r="L1015" s="20"/>
    </row>
    <row r="1016" spans="8:12" s="5" customFormat="1" ht="15">
      <c r="H1016" s="52"/>
      <c r="I1016" s="69"/>
      <c r="J1016" s="20"/>
      <c r="L1016" s="20"/>
    </row>
    <row r="1017" spans="8:12" s="5" customFormat="1" ht="15">
      <c r="H1017" s="52"/>
      <c r="I1017" s="69"/>
      <c r="J1017" s="20"/>
      <c r="L1017" s="20"/>
    </row>
    <row r="1018" spans="8:12" s="5" customFormat="1" ht="15">
      <c r="H1018" s="52"/>
      <c r="I1018" s="69"/>
      <c r="J1018" s="20"/>
      <c r="L1018" s="20"/>
    </row>
    <row r="1019" spans="8:12" s="5" customFormat="1" ht="15">
      <c r="H1019" s="52"/>
      <c r="I1019" s="69"/>
      <c r="J1019" s="20"/>
      <c r="L1019" s="20"/>
    </row>
    <row r="1020" spans="8:12" s="5" customFormat="1" ht="15">
      <c r="H1020" s="52"/>
      <c r="I1020" s="69"/>
      <c r="J1020" s="20"/>
      <c r="L1020" s="20"/>
    </row>
    <row r="1021" spans="8:12" s="5" customFormat="1" ht="15">
      <c r="H1021" s="52"/>
      <c r="I1021" s="69"/>
      <c r="J1021" s="20"/>
      <c r="L1021" s="20"/>
    </row>
    <row r="1022" spans="8:12" s="5" customFormat="1" ht="15">
      <c r="H1022" s="52"/>
      <c r="I1022" s="69"/>
      <c r="J1022" s="20"/>
      <c r="L1022" s="20"/>
    </row>
    <row r="1023" spans="8:12" s="5" customFormat="1" ht="15">
      <c r="H1023" s="52"/>
      <c r="I1023" s="69"/>
      <c r="J1023" s="20"/>
      <c r="L1023" s="20"/>
    </row>
    <row r="1024" spans="8:12" s="5" customFormat="1" ht="15">
      <c r="H1024" s="52"/>
      <c r="I1024" s="69"/>
      <c r="J1024" s="20"/>
      <c r="L1024" s="20"/>
    </row>
    <row r="1025" spans="8:12" s="5" customFormat="1" ht="15">
      <c r="H1025" s="52"/>
      <c r="I1025" s="69"/>
      <c r="J1025" s="20"/>
      <c r="L1025" s="20"/>
    </row>
    <row r="1026" spans="8:12" s="5" customFormat="1" ht="15">
      <c r="H1026" s="52"/>
      <c r="I1026" s="69"/>
      <c r="J1026" s="20"/>
      <c r="L1026" s="20"/>
    </row>
    <row r="1027" spans="8:12" s="5" customFormat="1" ht="15">
      <c r="H1027" s="52"/>
      <c r="I1027" s="69"/>
      <c r="J1027" s="20"/>
      <c r="L1027" s="20"/>
    </row>
    <row r="1028" spans="8:12" s="5" customFormat="1" ht="15">
      <c r="H1028" s="52"/>
      <c r="I1028" s="69"/>
      <c r="J1028" s="20"/>
      <c r="L1028" s="20"/>
    </row>
    <row r="1029" spans="8:12" s="5" customFormat="1" ht="15">
      <c r="H1029" s="52"/>
      <c r="I1029" s="69"/>
      <c r="J1029" s="20"/>
      <c r="L1029" s="20"/>
    </row>
    <row r="1030" spans="8:12" s="5" customFormat="1" ht="15">
      <c r="H1030" s="52"/>
      <c r="I1030" s="69"/>
      <c r="J1030" s="20"/>
      <c r="L1030" s="20"/>
    </row>
    <row r="1031" spans="8:12" s="5" customFormat="1" ht="15">
      <c r="H1031" s="52"/>
      <c r="I1031" s="69"/>
      <c r="J1031" s="20"/>
      <c r="L1031" s="20"/>
    </row>
    <row r="1032" spans="8:12" s="5" customFormat="1" ht="15">
      <c r="H1032" s="52"/>
      <c r="I1032" s="69"/>
      <c r="J1032" s="20"/>
      <c r="L1032" s="20"/>
    </row>
    <row r="1033" spans="8:12" s="5" customFormat="1" ht="15">
      <c r="H1033" s="52"/>
      <c r="I1033" s="69"/>
      <c r="J1033" s="20"/>
      <c r="L1033" s="20"/>
    </row>
    <row r="1034" spans="8:12" s="5" customFormat="1" ht="15">
      <c r="H1034" s="52"/>
      <c r="I1034" s="69"/>
      <c r="J1034" s="20"/>
      <c r="L1034" s="20"/>
    </row>
    <row r="1035" spans="8:12" s="5" customFormat="1" ht="15">
      <c r="H1035" s="52"/>
      <c r="I1035" s="69"/>
      <c r="J1035" s="20"/>
      <c r="L1035" s="20"/>
    </row>
    <row r="1036" spans="8:12" s="5" customFormat="1" ht="15">
      <c r="H1036" s="52"/>
      <c r="I1036" s="69"/>
      <c r="J1036" s="20"/>
      <c r="L1036" s="20"/>
    </row>
    <row r="1037" spans="8:12" s="5" customFormat="1" ht="15">
      <c r="H1037" s="52"/>
      <c r="I1037" s="69"/>
      <c r="J1037" s="20"/>
      <c r="L1037" s="20"/>
    </row>
    <row r="1038" spans="8:12" s="5" customFormat="1" ht="15">
      <c r="H1038" s="52"/>
      <c r="I1038" s="69"/>
      <c r="J1038" s="20"/>
      <c r="L1038" s="20"/>
    </row>
    <row r="1039" spans="8:12" s="5" customFormat="1" ht="15">
      <c r="H1039" s="52"/>
      <c r="I1039" s="69"/>
      <c r="J1039" s="20"/>
      <c r="L1039" s="20"/>
    </row>
    <row r="1040" spans="8:12" s="5" customFormat="1" ht="15">
      <c r="H1040" s="52"/>
      <c r="I1040" s="69"/>
      <c r="J1040" s="20"/>
      <c r="L1040" s="20"/>
    </row>
    <row r="1041" spans="8:12" s="5" customFormat="1" ht="15">
      <c r="H1041" s="52"/>
      <c r="I1041" s="69"/>
      <c r="J1041" s="20"/>
      <c r="L1041" s="20"/>
    </row>
    <row r="1042" spans="8:12" s="5" customFormat="1" ht="15">
      <c r="H1042" s="52"/>
      <c r="I1042" s="69"/>
      <c r="J1042" s="20"/>
      <c r="L1042" s="20"/>
    </row>
    <row r="1043" spans="8:12" s="5" customFormat="1" ht="15">
      <c r="H1043" s="52"/>
      <c r="I1043" s="69"/>
      <c r="J1043" s="20"/>
      <c r="L1043" s="20"/>
    </row>
    <row r="1044" spans="8:12" s="5" customFormat="1" ht="15">
      <c r="H1044" s="52"/>
      <c r="I1044" s="69"/>
      <c r="J1044" s="20"/>
      <c r="L1044" s="20"/>
    </row>
    <row r="1045" spans="8:12" s="5" customFormat="1" ht="15">
      <c r="H1045" s="52"/>
      <c r="I1045" s="69"/>
      <c r="J1045" s="20"/>
      <c r="L1045" s="20"/>
    </row>
    <row r="1046" spans="8:12" s="5" customFormat="1" ht="15">
      <c r="H1046" s="52"/>
      <c r="I1046" s="69"/>
      <c r="J1046" s="20"/>
      <c r="L1046" s="20"/>
    </row>
    <row r="1047" spans="8:12" s="5" customFormat="1" ht="15">
      <c r="H1047" s="52"/>
      <c r="I1047" s="69"/>
      <c r="J1047" s="20"/>
      <c r="L1047" s="20"/>
    </row>
    <row r="1048" spans="8:12" s="5" customFormat="1" ht="15">
      <c r="H1048" s="52"/>
      <c r="I1048" s="69"/>
      <c r="J1048" s="20"/>
      <c r="L1048" s="20"/>
    </row>
    <row r="1049" spans="8:12" s="5" customFormat="1" ht="15">
      <c r="H1049" s="52"/>
      <c r="I1049" s="69"/>
      <c r="J1049" s="20"/>
      <c r="L1049" s="20"/>
    </row>
    <row r="1050" spans="8:12" s="5" customFormat="1" ht="15">
      <c r="H1050" s="52"/>
      <c r="I1050" s="69"/>
      <c r="J1050" s="20"/>
      <c r="L1050" s="20"/>
    </row>
    <row r="1051" spans="8:12" s="5" customFormat="1" ht="15">
      <c r="H1051" s="52"/>
      <c r="I1051" s="69"/>
      <c r="J1051" s="20"/>
      <c r="L1051" s="20"/>
    </row>
    <row r="1052" spans="8:12" s="5" customFormat="1" ht="15">
      <c r="H1052" s="52"/>
      <c r="I1052" s="69"/>
      <c r="J1052" s="20"/>
      <c r="L1052" s="20"/>
    </row>
    <row r="1053" spans="8:12" s="5" customFormat="1" ht="15">
      <c r="H1053" s="52"/>
      <c r="I1053" s="69"/>
      <c r="J1053" s="20"/>
      <c r="L1053" s="20"/>
    </row>
    <row r="1054" spans="8:12" s="5" customFormat="1" ht="15">
      <c r="H1054" s="52"/>
      <c r="I1054" s="69"/>
      <c r="J1054" s="20"/>
      <c r="L1054" s="20"/>
    </row>
    <row r="1055" spans="8:12" s="5" customFormat="1" ht="15">
      <c r="H1055" s="52"/>
      <c r="I1055" s="69"/>
      <c r="J1055" s="20"/>
      <c r="L1055" s="20"/>
    </row>
    <row r="1056" spans="8:12" s="5" customFormat="1" ht="15">
      <c r="H1056" s="52"/>
      <c r="I1056" s="69"/>
      <c r="J1056" s="20"/>
      <c r="L1056" s="20"/>
    </row>
    <row r="1057" spans="8:12" s="5" customFormat="1" ht="15">
      <c r="H1057" s="52"/>
      <c r="I1057" s="69"/>
      <c r="J1057" s="20"/>
      <c r="L1057" s="20"/>
    </row>
    <row r="1058" spans="8:12" s="5" customFormat="1" ht="15">
      <c r="H1058" s="52"/>
      <c r="I1058" s="69"/>
      <c r="J1058" s="20"/>
      <c r="L1058" s="20"/>
    </row>
    <row r="1059" spans="8:12" s="5" customFormat="1" ht="15">
      <c r="H1059" s="52"/>
      <c r="I1059" s="69"/>
      <c r="J1059" s="20"/>
      <c r="L1059" s="20"/>
    </row>
    <row r="1060" spans="8:12" s="5" customFormat="1" ht="15">
      <c r="H1060" s="52"/>
      <c r="I1060" s="69"/>
      <c r="J1060" s="20"/>
      <c r="L1060" s="20"/>
    </row>
    <row r="1061" spans="8:12" s="5" customFormat="1" ht="15">
      <c r="H1061" s="52"/>
      <c r="I1061" s="69"/>
      <c r="J1061" s="20"/>
      <c r="L1061" s="20"/>
    </row>
    <row r="1062" spans="8:12" s="5" customFormat="1" ht="15">
      <c r="H1062" s="52"/>
      <c r="I1062" s="69"/>
      <c r="J1062" s="20"/>
      <c r="L1062" s="20"/>
    </row>
    <row r="1063" spans="8:12" s="5" customFormat="1" ht="15">
      <c r="H1063" s="52"/>
      <c r="I1063" s="69"/>
      <c r="J1063" s="20"/>
      <c r="L1063" s="20"/>
    </row>
    <row r="1064" spans="8:12" s="5" customFormat="1" ht="15">
      <c r="H1064" s="52"/>
      <c r="I1064" s="69"/>
      <c r="J1064" s="20"/>
      <c r="L1064" s="20"/>
    </row>
    <row r="1065" spans="8:12" s="5" customFormat="1" ht="15">
      <c r="H1065" s="52"/>
      <c r="I1065" s="69"/>
      <c r="J1065" s="20"/>
      <c r="L1065" s="20"/>
    </row>
    <row r="1066" spans="8:12" s="5" customFormat="1" ht="15">
      <c r="H1066" s="52"/>
      <c r="I1066" s="69"/>
      <c r="J1066" s="20"/>
      <c r="L1066" s="20"/>
    </row>
    <row r="1067" spans="8:12" s="5" customFormat="1" ht="15">
      <c r="H1067" s="52"/>
      <c r="I1067" s="69"/>
      <c r="J1067" s="20"/>
      <c r="L1067" s="20"/>
    </row>
    <row r="1068" spans="8:12" s="5" customFormat="1" ht="15">
      <c r="H1068" s="52"/>
      <c r="I1068" s="69"/>
      <c r="J1068" s="20"/>
      <c r="L1068" s="20"/>
    </row>
    <row r="1069" spans="8:12" s="5" customFormat="1" ht="15">
      <c r="H1069" s="52"/>
      <c r="I1069" s="69"/>
      <c r="J1069" s="20"/>
      <c r="L1069" s="20"/>
    </row>
    <row r="1070" spans="8:12" s="5" customFormat="1" ht="15">
      <c r="H1070" s="52"/>
      <c r="I1070" s="69"/>
      <c r="J1070" s="20"/>
      <c r="L1070" s="20"/>
    </row>
    <row r="1071" spans="8:12" s="5" customFormat="1" ht="15">
      <c r="H1071" s="52"/>
      <c r="I1071" s="69"/>
      <c r="J1071" s="20"/>
      <c r="L1071" s="20"/>
    </row>
    <row r="1072" spans="8:12" s="5" customFormat="1" ht="15">
      <c r="H1072" s="52"/>
      <c r="I1072" s="69"/>
      <c r="J1072" s="20"/>
      <c r="L1072" s="20"/>
    </row>
    <row r="1073" spans="8:12" s="5" customFormat="1" ht="15">
      <c r="H1073" s="52"/>
      <c r="I1073" s="69"/>
      <c r="J1073" s="20"/>
      <c r="L1073" s="20"/>
    </row>
    <row r="1074" spans="8:12" s="5" customFormat="1" ht="15">
      <c r="H1074" s="52"/>
      <c r="I1074" s="69"/>
      <c r="J1074" s="20"/>
      <c r="L1074" s="20"/>
    </row>
    <row r="1075" spans="8:12" s="5" customFormat="1" ht="15">
      <c r="H1075" s="52"/>
      <c r="I1075" s="69"/>
      <c r="J1075" s="20"/>
      <c r="L1075" s="20"/>
    </row>
    <row r="1076" spans="8:12" s="5" customFormat="1" ht="15">
      <c r="H1076" s="52"/>
      <c r="I1076" s="69"/>
      <c r="J1076" s="20"/>
      <c r="L1076" s="20"/>
    </row>
    <row r="1077" spans="8:12" s="5" customFormat="1" ht="15">
      <c r="H1077" s="52"/>
      <c r="I1077" s="69"/>
      <c r="J1077" s="20"/>
      <c r="L1077" s="20"/>
    </row>
    <row r="1078" spans="8:12" s="5" customFormat="1" ht="15">
      <c r="H1078" s="52"/>
      <c r="I1078" s="69"/>
      <c r="J1078" s="20"/>
      <c r="L1078" s="20"/>
    </row>
    <row r="1079" spans="8:12" s="5" customFormat="1" ht="15">
      <c r="H1079" s="52"/>
      <c r="I1079" s="69"/>
      <c r="J1079" s="20"/>
      <c r="L1079" s="20"/>
    </row>
    <row r="1080" spans="8:12" s="5" customFormat="1" ht="15">
      <c r="H1080" s="52"/>
      <c r="I1080" s="69"/>
      <c r="J1080" s="20"/>
      <c r="L1080" s="20"/>
    </row>
    <row r="1081" spans="8:12" s="5" customFormat="1" ht="15">
      <c r="H1081" s="52"/>
      <c r="I1081" s="69"/>
      <c r="J1081" s="20"/>
      <c r="L1081" s="20"/>
    </row>
    <row r="1082" spans="8:12" s="5" customFormat="1" ht="15">
      <c r="H1082" s="52"/>
      <c r="I1082" s="69"/>
      <c r="J1082" s="20"/>
      <c r="L1082" s="20"/>
    </row>
    <row r="1083" spans="8:12" s="5" customFormat="1" ht="15">
      <c r="H1083" s="52"/>
      <c r="I1083" s="69"/>
      <c r="J1083" s="20"/>
      <c r="L1083" s="20"/>
    </row>
    <row r="1084" spans="8:12" s="5" customFormat="1" ht="15">
      <c r="H1084" s="52"/>
      <c r="I1084" s="69"/>
      <c r="J1084" s="20"/>
      <c r="L1084" s="20"/>
    </row>
    <row r="1085" spans="8:12" s="5" customFormat="1" ht="15">
      <c r="H1085" s="52"/>
      <c r="I1085" s="69"/>
      <c r="J1085" s="20"/>
      <c r="L1085" s="20"/>
    </row>
    <row r="1086" spans="8:12" s="5" customFormat="1" ht="15">
      <c r="H1086" s="52"/>
      <c r="I1086" s="69"/>
      <c r="J1086" s="20"/>
      <c r="L1086" s="20"/>
    </row>
    <row r="1087" spans="8:12" s="5" customFormat="1" ht="15">
      <c r="H1087" s="52"/>
      <c r="I1087" s="69"/>
      <c r="J1087" s="20"/>
      <c r="L1087" s="20"/>
    </row>
    <row r="1088" spans="8:12" s="5" customFormat="1" ht="15">
      <c r="H1088" s="52"/>
      <c r="I1088" s="69"/>
      <c r="J1088" s="20"/>
      <c r="L1088" s="20"/>
    </row>
    <row r="1089" spans="8:12" s="5" customFormat="1" ht="15">
      <c r="H1089" s="52"/>
      <c r="I1089" s="69"/>
      <c r="J1089" s="20"/>
      <c r="L1089" s="20"/>
    </row>
    <row r="1090" spans="8:12" s="5" customFormat="1" ht="15">
      <c r="H1090" s="52"/>
      <c r="I1090" s="69"/>
      <c r="J1090" s="20"/>
      <c r="L1090" s="20"/>
    </row>
    <row r="1091" spans="8:12" s="5" customFormat="1" ht="15">
      <c r="H1091" s="52"/>
      <c r="I1091" s="69"/>
      <c r="J1091" s="20"/>
      <c r="L1091" s="20"/>
    </row>
    <row r="1092" spans="8:12" s="5" customFormat="1" ht="15">
      <c r="H1092" s="52"/>
      <c r="I1092" s="69"/>
      <c r="J1092" s="20"/>
      <c r="L1092" s="20"/>
    </row>
    <row r="1093" spans="8:12" s="5" customFormat="1" ht="15">
      <c r="H1093" s="52"/>
      <c r="I1093" s="69"/>
      <c r="J1093" s="20"/>
      <c r="L1093" s="20"/>
    </row>
    <row r="1094" spans="8:12" s="5" customFormat="1" ht="15">
      <c r="H1094" s="52"/>
      <c r="I1094" s="69"/>
      <c r="J1094" s="20"/>
      <c r="L1094" s="20"/>
    </row>
    <row r="1095" spans="8:12" s="5" customFormat="1" ht="15">
      <c r="H1095" s="52"/>
      <c r="I1095" s="69"/>
      <c r="J1095" s="20"/>
      <c r="L1095" s="20"/>
    </row>
    <row r="1096" spans="8:12" s="5" customFormat="1" ht="15">
      <c r="H1096" s="52"/>
      <c r="I1096" s="69"/>
      <c r="J1096" s="20"/>
      <c r="L1096" s="20"/>
    </row>
    <row r="1097" spans="8:12" s="5" customFormat="1" ht="15">
      <c r="H1097" s="52"/>
      <c r="I1097" s="69"/>
      <c r="J1097" s="20"/>
      <c r="L1097" s="20"/>
    </row>
    <row r="1098" spans="8:12" s="5" customFormat="1" ht="15">
      <c r="H1098" s="52"/>
      <c r="I1098" s="69"/>
      <c r="J1098" s="20"/>
      <c r="L1098" s="20"/>
    </row>
    <row r="1099" spans="8:12" s="5" customFormat="1" ht="15">
      <c r="H1099" s="52"/>
      <c r="I1099" s="69"/>
      <c r="J1099" s="20"/>
      <c r="L1099" s="20"/>
    </row>
    <row r="1100" spans="8:12" s="5" customFormat="1" ht="15">
      <c r="H1100" s="52"/>
      <c r="I1100" s="69"/>
      <c r="J1100" s="20"/>
      <c r="L1100" s="20"/>
    </row>
    <row r="1101" spans="8:12" s="5" customFormat="1" ht="15">
      <c r="H1101" s="52"/>
      <c r="I1101" s="69"/>
      <c r="J1101" s="20"/>
      <c r="L1101" s="20"/>
    </row>
    <row r="1102" spans="8:12" s="5" customFormat="1" ht="15">
      <c r="H1102" s="52"/>
      <c r="I1102" s="69"/>
      <c r="J1102" s="20"/>
      <c r="L1102" s="20"/>
    </row>
    <row r="1103" spans="8:12" s="5" customFormat="1" ht="15">
      <c r="H1103" s="52"/>
      <c r="I1103" s="69"/>
      <c r="J1103" s="20"/>
      <c r="L1103" s="20"/>
    </row>
    <row r="1104" spans="8:12" s="5" customFormat="1" ht="15">
      <c r="H1104" s="52"/>
      <c r="I1104" s="69"/>
      <c r="J1104" s="20"/>
      <c r="L1104" s="20"/>
    </row>
    <row r="1105" spans="8:12" s="5" customFormat="1" ht="15">
      <c r="H1105" s="52"/>
      <c r="I1105" s="69"/>
      <c r="J1105" s="20"/>
      <c r="L1105" s="20"/>
    </row>
    <row r="1106" spans="8:12" s="5" customFormat="1" ht="15">
      <c r="H1106" s="52"/>
      <c r="I1106" s="69"/>
      <c r="J1106" s="20"/>
      <c r="L1106" s="20"/>
    </row>
    <row r="1107" spans="8:12" s="5" customFormat="1" ht="15">
      <c r="H1107" s="52"/>
      <c r="I1107" s="69"/>
      <c r="J1107" s="20"/>
      <c r="L1107" s="20"/>
    </row>
    <row r="1108" spans="8:12" s="5" customFormat="1" ht="15">
      <c r="H1108" s="52"/>
      <c r="I1108" s="69"/>
      <c r="J1108" s="20"/>
      <c r="L1108" s="20"/>
    </row>
    <row r="1109" spans="8:12" s="5" customFormat="1" ht="15">
      <c r="H1109" s="52"/>
      <c r="I1109" s="69"/>
      <c r="J1109" s="20"/>
      <c r="L1109" s="20"/>
    </row>
    <row r="1110" spans="8:12" s="5" customFormat="1" ht="15">
      <c r="H1110" s="52"/>
      <c r="I1110" s="69"/>
      <c r="J1110" s="20"/>
      <c r="L1110" s="20"/>
    </row>
    <row r="1111" spans="8:12" s="5" customFormat="1" ht="15">
      <c r="H1111" s="52"/>
      <c r="I1111" s="69"/>
      <c r="J1111" s="20"/>
      <c r="L1111" s="20"/>
    </row>
    <row r="1112" spans="8:12" s="5" customFormat="1" ht="15">
      <c r="H1112" s="52"/>
      <c r="I1112" s="69"/>
      <c r="J1112" s="20"/>
      <c r="L1112" s="20"/>
    </row>
    <row r="1113" spans="8:12" s="5" customFormat="1" ht="15">
      <c r="H1113" s="52"/>
      <c r="I1113" s="69"/>
      <c r="J1113" s="20"/>
      <c r="L1113" s="20"/>
    </row>
    <row r="1114" spans="8:12" s="5" customFormat="1" ht="15">
      <c r="H1114" s="52"/>
      <c r="I1114" s="69"/>
      <c r="J1114" s="20"/>
      <c r="L1114" s="20"/>
    </row>
    <row r="1115" spans="8:12" s="5" customFormat="1" ht="15">
      <c r="H1115" s="52"/>
      <c r="I1115" s="69"/>
      <c r="J1115" s="20"/>
      <c r="L1115" s="20"/>
    </row>
    <row r="1116" spans="8:12" s="5" customFormat="1" ht="15">
      <c r="H1116" s="52"/>
      <c r="I1116" s="69"/>
      <c r="J1116" s="20"/>
      <c r="L1116" s="20"/>
    </row>
    <row r="1117" spans="8:12" s="5" customFormat="1" ht="15">
      <c r="H1117" s="52"/>
      <c r="I1117" s="69"/>
      <c r="J1117" s="20"/>
      <c r="L1117" s="20"/>
    </row>
    <row r="1118" spans="8:12" s="5" customFormat="1" ht="15">
      <c r="H1118" s="52"/>
      <c r="I1118" s="69"/>
      <c r="J1118" s="20"/>
      <c r="L1118" s="20"/>
    </row>
    <row r="1119" spans="8:12" s="5" customFormat="1" ht="15">
      <c r="H1119" s="52"/>
      <c r="I1119" s="69"/>
      <c r="J1119" s="20"/>
      <c r="L1119" s="20"/>
    </row>
    <row r="1120" spans="8:12" s="5" customFormat="1" ht="15">
      <c r="H1120" s="52"/>
      <c r="I1120" s="69"/>
      <c r="J1120" s="20"/>
      <c r="L1120" s="20"/>
    </row>
    <row r="1121" spans="8:12" s="5" customFormat="1" ht="15">
      <c r="H1121" s="52"/>
      <c r="I1121" s="69"/>
      <c r="J1121" s="20"/>
      <c r="L1121" s="20"/>
    </row>
    <row r="1122" spans="8:12" s="5" customFormat="1" ht="15">
      <c r="H1122" s="52"/>
      <c r="I1122" s="69"/>
      <c r="J1122" s="20"/>
      <c r="L1122" s="20"/>
    </row>
    <row r="1123" spans="8:12" s="5" customFormat="1" ht="15">
      <c r="H1123" s="52"/>
      <c r="I1123" s="69"/>
      <c r="J1123" s="20"/>
      <c r="L1123" s="20"/>
    </row>
    <row r="1124" spans="8:12" s="5" customFormat="1" ht="15">
      <c r="H1124" s="52"/>
      <c r="I1124" s="69"/>
      <c r="J1124" s="20"/>
      <c r="L1124" s="20"/>
    </row>
    <row r="1125" spans="8:12" s="5" customFormat="1" ht="15">
      <c r="H1125" s="52"/>
      <c r="I1125" s="69"/>
      <c r="J1125" s="20"/>
      <c r="L1125" s="20"/>
    </row>
    <row r="1126" spans="8:12" s="5" customFormat="1" ht="15">
      <c r="H1126" s="52"/>
      <c r="I1126" s="69"/>
      <c r="J1126" s="20"/>
      <c r="L1126" s="20"/>
    </row>
    <row r="1127" spans="8:12" s="5" customFormat="1" ht="15">
      <c r="H1127" s="52"/>
      <c r="I1127" s="69"/>
      <c r="J1127" s="20"/>
      <c r="L1127" s="20"/>
    </row>
    <row r="1128" spans="8:12" s="5" customFormat="1" ht="15">
      <c r="H1128" s="52"/>
      <c r="I1128" s="69"/>
      <c r="J1128" s="20"/>
      <c r="L1128" s="20"/>
    </row>
    <row r="1129" spans="8:12" s="5" customFormat="1" ht="15">
      <c r="H1129" s="52"/>
      <c r="I1129" s="69"/>
      <c r="J1129" s="20"/>
      <c r="L1129" s="20"/>
    </row>
    <row r="1130" spans="8:12" s="5" customFormat="1" ht="15">
      <c r="H1130" s="52"/>
      <c r="I1130" s="69"/>
      <c r="J1130" s="20"/>
      <c r="L1130" s="20"/>
    </row>
    <row r="1131" spans="8:12" s="5" customFormat="1" ht="15">
      <c r="H1131" s="52"/>
      <c r="I1131" s="69"/>
      <c r="J1131" s="20"/>
      <c r="L1131" s="20"/>
    </row>
    <row r="1132" spans="1:10" ht="15">
      <c r="A1132" s="5"/>
      <c r="B1132" s="5"/>
      <c r="C1132" s="5"/>
      <c r="D1132" s="5"/>
      <c r="E1132" s="5"/>
      <c r="F1132" s="5"/>
      <c r="G1132" s="5"/>
      <c r="H1132" s="52"/>
      <c r="I1132" s="69"/>
      <c r="J1132" s="20"/>
    </row>
  </sheetData>
  <sheetProtection/>
  <mergeCells count="916">
    <mergeCell ref="B760:B761"/>
    <mergeCell ref="E760:E761"/>
    <mergeCell ref="F760:F761"/>
    <mergeCell ref="G760:G761"/>
    <mergeCell ref="H760:H761"/>
    <mergeCell ref="J760:J761"/>
    <mergeCell ref="C760:D760"/>
    <mergeCell ref="A650:J650"/>
    <mergeCell ref="A660:J660"/>
    <mergeCell ref="C626:D626"/>
    <mergeCell ref="B642:B648"/>
    <mergeCell ref="A757:J757"/>
    <mergeCell ref="A758:J758"/>
    <mergeCell ref="A865:I865"/>
    <mergeCell ref="A203:J203"/>
    <mergeCell ref="A633:I633"/>
    <mergeCell ref="A662:A663"/>
    <mergeCell ref="A760:A761"/>
    <mergeCell ref="A651:I651"/>
    <mergeCell ref="B739:B742"/>
    <mergeCell ref="A522:A523"/>
    <mergeCell ref="H626:H627"/>
    <mergeCell ref="A636:J636"/>
    <mergeCell ref="A353:I353"/>
    <mergeCell ref="C376:C378"/>
    <mergeCell ref="A802:I802"/>
    <mergeCell ref="A755:I755"/>
    <mergeCell ref="A750:J750"/>
    <mergeCell ref="A777:I777"/>
    <mergeCell ref="A747:J747"/>
    <mergeCell ref="A752:A753"/>
    <mergeCell ref="A756:J756"/>
    <mergeCell ref="A637:J637"/>
    <mergeCell ref="B40:G40"/>
    <mergeCell ref="C225:C232"/>
    <mergeCell ref="B225:B232"/>
    <mergeCell ref="A225:A232"/>
    <mergeCell ref="A233:I233"/>
    <mergeCell ref="A279:I279"/>
    <mergeCell ref="B261:B262"/>
    <mergeCell ref="B242:B243"/>
    <mergeCell ref="A252:I252"/>
    <mergeCell ref="G626:G627"/>
    <mergeCell ref="F374:F375"/>
    <mergeCell ref="A497:I497"/>
    <mergeCell ref="A590:J590"/>
    <mergeCell ref="J348:J349"/>
    <mergeCell ref="A325:J325"/>
    <mergeCell ref="A370:J370"/>
    <mergeCell ref="A382:J382"/>
    <mergeCell ref="B376:B378"/>
    <mergeCell ref="A558:I558"/>
    <mergeCell ref="A552:J552"/>
    <mergeCell ref="A528:J528"/>
    <mergeCell ref="A531:J531"/>
    <mergeCell ref="J461:J462"/>
    <mergeCell ref="F476:F477"/>
    <mergeCell ref="H476:H477"/>
    <mergeCell ref="A532:J532"/>
    <mergeCell ref="A543:J543"/>
    <mergeCell ref="H547:H548"/>
    <mergeCell ref="A527:J527"/>
    <mergeCell ref="I610:I611"/>
    <mergeCell ref="I547:I548"/>
    <mergeCell ref="B631:I631"/>
    <mergeCell ref="A537:I537"/>
    <mergeCell ref="A625:J625"/>
    <mergeCell ref="J555:J556"/>
    <mergeCell ref="G567:G568"/>
    <mergeCell ref="A602:A605"/>
    <mergeCell ref="I592:I593"/>
    <mergeCell ref="A547:A548"/>
    <mergeCell ref="A339:J339"/>
    <mergeCell ref="A362:A363"/>
    <mergeCell ref="E313:E314"/>
    <mergeCell ref="E334:E335"/>
    <mergeCell ref="A338:I338"/>
    <mergeCell ref="A324:J324"/>
    <mergeCell ref="A337:I337"/>
    <mergeCell ref="A345:J345"/>
    <mergeCell ref="A323:I323"/>
    <mergeCell ref="A320:I320"/>
    <mergeCell ref="A295:A296"/>
    <mergeCell ref="A309:J309"/>
    <mergeCell ref="G313:G314"/>
    <mergeCell ref="F295:F296"/>
    <mergeCell ref="G295:G296"/>
    <mergeCell ref="A313:A314"/>
    <mergeCell ref="C313:D313"/>
    <mergeCell ref="J313:J314"/>
    <mergeCell ref="H295:H296"/>
    <mergeCell ref="E295:E296"/>
    <mergeCell ref="G374:G375"/>
    <mergeCell ref="B350:B351"/>
    <mergeCell ref="G334:G335"/>
    <mergeCell ref="A356:J356"/>
    <mergeCell ref="A357:J357"/>
    <mergeCell ref="A355:J355"/>
    <mergeCell ref="A374:A375"/>
    <mergeCell ref="A365:I365"/>
    <mergeCell ref="J374:J375"/>
    <mergeCell ref="A352:I352"/>
    <mergeCell ref="H374:H375"/>
    <mergeCell ref="B313:B314"/>
    <mergeCell ref="H313:H314"/>
    <mergeCell ref="A308:I308"/>
    <mergeCell ref="G276:G277"/>
    <mergeCell ref="G261:G262"/>
    <mergeCell ref="I261:I262"/>
    <mergeCell ref="E261:E262"/>
    <mergeCell ref="A358:H358"/>
    <mergeCell ref="A354:J354"/>
    <mergeCell ref="A293:J293"/>
    <mergeCell ref="A261:A262"/>
    <mergeCell ref="A285:I285"/>
    <mergeCell ref="A249:I249"/>
    <mergeCell ref="A255:J255"/>
    <mergeCell ref="A260:E260"/>
    <mergeCell ref="A253:J253"/>
    <mergeCell ref="A258:G258"/>
    <mergeCell ref="A256:J256"/>
    <mergeCell ref="A250:I250"/>
    <mergeCell ref="B244:B248"/>
    <mergeCell ref="C244:C248"/>
    <mergeCell ref="A251:I251"/>
    <mergeCell ref="E242:E243"/>
    <mergeCell ref="C207:D207"/>
    <mergeCell ref="H221:H222"/>
    <mergeCell ref="C242:D242"/>
    <mergeCell ref="A234:J234"/>
    <mergeCell ref="A240:J240"/>
    <mergeCell ref="A242:A243"/>
    <mergeCell ref="J242:J243"/>
    <mergeCell ref="A199:I199"/>
    <mergeCell ref="A200:H200"/>
    <mergeCell ref="A202:J202"/>
    <mergeCell ref="A215:J215"/>
    <mergeCell ref="A213:I213"/>
    <mergeCell ref="A214:J214"/>
    <mergeCell ref="B207:B208"/>
    <mergeCell ref="A205:J205"/>
    <mergeCell ref="A212:I212"/>
    <mergeCell ref="G207:G208"/>
    <mergeCell ref="H207:H208"/>
    <mergeCell ref="E207:E208"/>
    <mergeCell ref="A191:J191"/>
    <mergeCell ref="A192:J192"/>
    <mergeCell ref="G242:G243"/>
    <mergeCell ref="A211:I211"/>
    <mergeCell ref="A204:J204"/>
    <mergeCell ref="A196:A197"/>
    <mergeCell ref="A209:A210"/>
    <mergeCell ref="G196:G197"/>
    <mergeCell ref="B196:B197"/>
    <mergeCell ref="C196:D196"/>
    <mergeCell ref="E196:E197"/>
    <mergeCell ref="F196:F197"/>
    <mergeCell ref="A194:J194"/>
    <mergeCell ref="H196:H197"/>
    <mergeCell ref="J196:J197"/>
    <mergeCell ref="H180:H181"/>
    <mergeCell ref="B180:B181"/>
    <mergeCell ref="C180:D180"/>
    <mergeCell ref="A180:A181"/>
    <mergeCell ref="A182:A184"/>
    <mergeCell ref="A190:J190"/>
    <mergeCell ref="C182:C184"/>
    <mergeCell ref="A188:I188"/>
    <mergeCell ref="A193:F193"/>
    <mergeCell ref="A174:J174"/>
    <mergeCell ref="A153:J153"/>
    <mergeCell ref="A155:J155"/>
    <mergeCell ref="A159:J159"/>
    <mergeCell ref="A163:A164"/>
    <mergeCell ref="H161:H162"/>
    <mergeCell ref="A178:J178"/>
    <mergeCell ref="B182:B184"/>
    <mergeCell ref="A168:I168"/>
    <mergeCell ref="F161:F162"/>
    <mergeCell ref="G161:G162"/>
    <mergeCell ref="A169:J169"/>
    <mergeCell ref="A185:I185"/>
    <mergeCell ref="A187:I187"/>
    <mergeCell ref="F180:F181"/>
    <mergeCell ref="G180:G181"/>
    <mergeCell ref="E180:E181"/>
    <mergeCell ref="J180:J181"/>
    <mergeCell ref="B141:B142"/>
    <mergeCell ref="J141:J142"/>
    <mergeCell ref="A135:J135"/>
    <mergeCell ref="J161:J162"/>
    <mergeCell ref="A161:A162"/>
    <mergeCell ref="B161:B162"/>
    <mergeCell ref="C161:D161"/>
    <mergeCell ref="A139:J139"/>
    <mergeCell ref="C144:C146"/>
    <mergeCell ref="A141:A142"/>
    <mergeCell ref="C141:D141"/>
    <mergeCell ref="H129:H130"/>
    <mergeCell ref="I129:I130"/>
    <mergeCell ref="F129:F130"/>
    <mergeCell ref="G129:G130"/>
    <mergeCell ref="E141:E142"/>
    <mergeCell ref="G141:G142"/>
    <mergeCell ref="A132:H132"/>
    <mergeCell ref="A134:J134"/>
    <mergeCell ref="J129:J130"/>
    <mergeCell ref="A120:I120"/>
    <mergeCell ref="A122:J122"/>
    <mergeCell ref="A128:E128"/>
    <mergeCell ref="B129:B130"/>
    <mergeCell ref="C129:D129"/>
    <mergeCell ref="E129:E130"/>
    <mergeCell ref="A124:J124"/>
    <mergeCell ref="A129:A130"/>
    <mergeCell ref="F737:F738"/>
    <mergeCell ref="H737:H738"/>
    <mergeCell ref="C737:D737"/>
    <mergeCell ref="A745:I745"/>
    <mergeCell ref="J752:J753"/>
    <mergeCell ref="H752:H753"/>
    <mergeCell ref="B752:B753"/>
    <mergeCell ref="A749:J749"/>
    <mergeCell ref="A744:I744"/>
    <mergeCell ref="C752:D752"/>
    <mergeCell ref="A608:J608"/>
    <mergeCell ref="H610:H611"/>
    <mergeCell ref="A541:J541"/>
    <mergeCell ref="G752:G753"/>
    <mergeCell ref="A588:J588"/>
    <mergeCell ref="A539:J539"/>
    <mergeCell ref="F752:F753"/>
    <mergeCell ref="A748:J748"/>
    <mergeCell ref="J737:J738"/>
    <mergeCell ref="I737:I738"/>
    <mergeCell ref="A652:I652"/>
    <mergeCell ref="E752:E753"/>
    <mergeCell ref="B737:B738"/>
    <mergeCell ref="A701:J701"/>
    <mergeCell ref="F689:F690"/>
    <mergeCell ref="A693:I693"/>
    <mergeCell ref="B717:B718"/>
    <mergeCell ref="C705:D705"/>
    <mergeCell ref="A698:J698"/>
    <mergeCell ref="E689:E690"/>
    <mergeCell ref="A683:J683"/>
    <mergeCell ref="A686:J686"/>
    <mergeCell ref="A684:J684"/>
    <mergeCell ref="C662:D662"/>
    <mergeCell ref="A658:J658"/>
    <mergeCell ref="G662:G663"/>
    <mergeCell ref="F662:F663"/>
    <mergeCell ref="A659:J659"/>
    <mergeCell ref="H662:H663"/>
    <mergeCell ref="A514:J514"/>
    <mergeCell ref="A544:J544"/>
    <mergeCell ref="J547:J548"/>
    <mergeCell ref="C534:D534"/>
    <mergeCell ref="A525:J525"/>
    <mergeCell ref="B547:B548"/>
    <mergeCell ref="A542:J542"/>
    <mergeCell ref="A545:J545"/>
    <mergeCell ref="A517:J517"/>
    <mergeCell ref="A524:I524"/>
    <mergeCell ref="A379:I379"/>
    <mergeCell ref="A409:I409"/>
    <mergeCell ref="B476:B477"/>
    <mergeCell ref="A385:J385"/>
    <mergeCell ref="A513:J513"/>
    <mergeCell ref="A395:I395"/>
    <mergeCell ref="G476:G477"/>
    <mergeCell ref="A510:I510"/>
    <mergeCell ref="F507:F508"/>
    <mergeCell ref="A496:I496"/>
    <mergeCell ref="B610:B611"/>
    <mergeCell ref="B581:B582"/>
    <mergeCell ref="A579:J579"/>
    <mergeCell ref="A578:J578"/>
    <mergeCell ref="A564:J564"/>
    <mergeCell ref="A585:I585"/>
    <mergeCell ref="E581:E582"/>
    <mergeCell ref="J581:J582"/>
    <mergeCell ref="B600:B601"/>
    <mergeCell ref="H600:H601"/>
    <mergeCell ref="A553:J553"/>
    <mergeCell ref="A551:J551"/>
    <mergeCell ref="A592:A593"/>
    <mergeCell ref="C567:D567"/>
    <mergeCell ref="A562:J562"/>
    <mergeCell ref="A559:I559"/>
    <mergeCell ref="G581:G582"/>
    <mergeCell ref="A589:J589"/>
    <mergeCell ref="H581:H582"/>
    <mergeCell ref="F555:F556"/>
    <mergeCell ref="G555:G556"/>
    <mergeCell ref="C555:D555"/>
    <mergeCell ref="A555:A556"/>
    <mergeCell ref="F567:F568"/>
    <mergeCell ref="I567:I568"/>
    <mergeCell ref="A567:A568"/>
    <mergeCell ref="B567:B568"/>
    <mergeCell ref="A560:J560"/>
    <mergeCell ref="E567:E568"/>
    <mergeCell ref="E555:E556"/>
    <mergeCell ref="C600:D600"/>
    <mergeCell ref="C592:D592"/>
    <mergeCell ref="A563:J563"/>
    <mergeCell ref="H592:H593"/>
    <mergeCell ref="A574:I574"/>
    <mergeCell ref="A576:J576"/>
    <mergeCell ref="E592:E593"/>
    <mergeCell ref="A577:J577"/>
    <mergeCell ref="A587:J587"/>
    <mergeCell ref="A581:A582"/>
    <mergeCell ref="A569:A573"/>
    <mergeCell ref="A584:I584"/>
    <mergeCell ref="C581:D581"/>
    <mergeCell ref="F581:F582"/>
    <mergeCell ref="I600:I601"/>
    <mergeCell ref="F592:F593"/>
    <mergeCell ref="G592:G593"/>
    <mergeCell ref="E600:E601"/>
    <mergeCell ref="A586:J586"/>
    <mergeCell ref="A596:J596"/>
    <mergeCell ref="A597:J597"/>
    <mergeCell ref="B592:B593"/>
    <mergeCell ref="A598:J598"/>
    <mergeCell ref="J592:J593"/>
    <mergeCell ref="C117:D117"/>
    <mergeCell ref="E117:E118"/>
    <mergeCell ref="A121:H121"/>
    <mergeCell ref="A123:J123"/>
    <mergeCell ref="J207:J208"/>
    <mergeCell ref="H141:H142"/>
    <mergeCell ref="A97:J97"/>
    <mergeCell ref="F117:F118"/>
    <mergeCell ref="A113:H113"/>
    <mergeCell ref="H117:H118"/>
    <mergeCell ref="C103:D103"/>
    <mergeCell ref="H103:H104"/>
    <mergeCell ref="G103:G104"/>
    <mergeCell ref="F640:F641"/>
    <mergeCell ref="E103:E104"/>
    <mergeCell ref="F86:F87"/>
    <mergeCell ref="A109:I109"/>
    <mergeCell ref="B103:B104"/>
    <mergeCell ref="A115:E115"/>
    <mergeCell ref="A96:J96"/>
    <mergeCell ref="A101:J101"/>
    <mergeCell ref="F141:F142"/>
    <mergeCell ref="A126:H126"/>
    <mergeCell ref="A655:J655"/>
    <mergeCell ref="A656:J656"/>
    <mergeCell ref="F53:F54"/>
    <mergeCell ref="I53:I54"/>
    <mergeCell ref="A78:I78"/>
    <mergeCell ref="I86:I87"/>
    <mergeCell ref="B640:B641"/>
    <mergeCell ref="A117:A118"/>
    <mergeCell ref="G117:G118"/>
    <mergeCell ref="A640:A641"/>
    <mergeCell ref="A638:J638"/>
    <mergeCell ref="B612:B619"/>
    <mergeCell ref="A622:J622"/>
    <mergeCell ref="H689:H690"/>
    <mergeCell ref="J689:J690"/>
    <mergeCell ref="A689:A690"/>
    <mergeCell ref="A664:A677"/>
    <mergeCell ref="A653:I653"/>
    <mergeCell ref="A682:J682"/>
    <mergeCell ref="G689:G690"/>
    <mergeCell ref="A643:A646"/>
    <mergeCell ref="A657:J657"/>
    <mergeCell ref="A685:J685"/>
    <mergeCell ref="F705:F706"/>
    <mergeCell ref="A703:J703"/>
    <mergeCell ref="B705:B706"/>
    <mergeCell ref="A697:J697"/>
    <mergeCell ref="A695:J695"/>
    <mergeCell ref="A691:A692"/>
    <mergeCell ref="B689:B690"/>
    <mergeCell ref="A687:J687"/>
    <mergeCell ref="A713:J713"/>
    <mergeCell ref="I705:I706"/>
    <mergeCell ref="A715:J715"/>
    <mergeCell ref="A707:A710"/>
    <mergeCell ref="G705:G706"/>
    <mergeCell ref="H705:H706"/>
    <mergeCell ref="E705:E706"/>
    <mergeCell ref="J705:J706"/>
    <mergeCell ref="F717:F718"/>
    <mergeCell ref="A714:J714"/>
    <mergeCell ref="A699:J699"/>
    <mergeCell ref="A732:J732"/>
    <mergeCell ref="A733:J733"/>
    <mergeCell ref="A705:A706"/>
    <mergeCell ref="J717:J718"/>
    <mergeCell ref="E717:E718"/>
    <mergeCell ref="C717:D717"/>
    <mergeCell ref="H717:H718"/>
    <mergeCell ref="A790:J790"/>
    <mergeCell ref="E832:E833"/>
    <mergeCell ref="A768:J768"/>
    <mergeCell ref="A782:J782"/>
    <mergeCell ref="C784:D784"/>
    <mergeCell ref="B811:B812"/>
    <mergeCell ref="E771:E772"/>
    <mergeCell ref="E784:E785"/>
    <mergeCell ref="J771:J772"/>
    <mergeCell ref="H771:H772"/>
    <mergeCell ref="A819:J819"/>
    <mergeCell ref="H798:H799"/>
    <mergeCell ref="I811:I812"/>
    <mergeCell ref="G784:G785"/>
    <mergeCell ref="A773:A776"/>
    <mergeCell ref="A818:J818"/>
    <mergeCell ref="A796:J796"/>
    <mergeCell ref="G798:G799"/>
    <mergeCell ref="A792:J792"/>
    <mergeCell ref="H784:H785"/>
    <mergeCell ref="A830:J830"/>
    <mergeCell ref="A851:J851"/>
    <mergeCell ref="A849:J849"/>
    <mergeCell ref="A832:A833"/>
    <mergeCell ref="A835:I835"/>
    <mergeCell ref="A850:J850"/>
    <mergeCell ref="A847:I847"/>
    <mergeCell ref="F832:F833"/>
    <mergeCell ref="B832:B833"/>
    <mergeCell ref="C832:D832"/>
    <mergeCell ref="A875:A876"/>
    <mergeCell ref="B875:B876"/>
    <mergeCell ref="J875:J876"/>
    <mergeCell ref="A859:A860"/>
    <mergeCell ref="G859:G860"/>
    <mergeCell ref="A863:I863"/>
    <mergeCell ref="H859:H860"/>
    <mergeCell ref="B859:B860"/>
    <mergeCell ref="A871:H871"/>
    <mergeCell ref="E859:E860"/>
    <mergeCell ref="A853:J853"/>
    <mergeCell ref="C844:D844"/>
    <mergeCell ref="A869:J869"/>
    <mergeCell ref="F859:F860"/>
    <mergeCell ref="J859:J860"/>
    <mergeCell ref="J844:J845"/>
    <mergeCell ref="A864:I864"/>
    <mergeCell ref="A866:I866"/>
    <mergeCell ref="A855:I855"/>
    <mergeCell ref="E844:E845"/>
    <mergeCell ref="A882:J882"/>
    <mergeCell ref="A868:J868"/>
    <mergeCell ref="A870:J870"/>
    <mergeCell ref="F875:F876"/>
    <mergeCell ref="A879:I879"/>
    <mergeCell ref="E875:E876"/>
    <mergeCell ref="H875:H876"/>
    <mergeCell ref="C875:D875"/>
    <mergeCell ref="G875:G876"/>
    <mergeCell ref="A880:I880"/>
    <mergeCell ref="A873:J873"/>
    <mergeCell ref="A839:J839"/>
    <mergeCell ref="A840:J840"/>
    <mergeCell ref="H844:H845"/>
    <mergeCell ref="B844:B845"/>
    <mergeCell ref="G844:G845"/>
    <mergeCell ref="A844:A845"/>
    <mergeCell ref="A857:J857"/>
    <mergeCell ref="C859:D859"/>
    <mergeCell ref="F844:F845"/>
    <mergeCell ref="A794:J794"/>
    <mergeCell ref="A841:J841"/>
    <mergeCell ref="A804:J804"/>
    <mergeCell ref="G811:G812"/>
    <mergeCell ref="J832:J833"/>
    <mergeCell ref="G832:G833"/>
    <mergeCell ref="H832:H833"/>
    <mergeCell ref="A806:J806"/>
    <mergeCell ref="A803:J803"/>
    <mergeCell ref="A821:A822"/>
    <mergeCell ref="A842:J842"/>
    <mergeCell ref="B798:B799"/>
    <mergeCell ref="J811:J812"/>
    <mergeCell ref="B821:B822"/>
    <mergeCell ref="C821:D821"/>
    <mergeCell ref="F821:F822"/>
    <mergeCell ref="A826:I826"/>
    <mergeCell ref="A809:J809"/>
    <mergeCell ref="A811:A812"/>
    <mergeCell ref="C798:D798"/>
    <mergeCell ref="C811:D811"/>
    <mergeCell ref="A798:A799"/>
    <mergeCell ref="A814:I814"/>
    <mergeCell ref="A807:J807"/>
    <mergeCell ref="E811:E812"/>
    <mergeCell ref="J798:J799"/>
    <mergeCell ref="E798:E799"/>
    <mergeCell ref="A817:J817"/>
    <mergeCell ref="A829:J829"/>
    <mergeCell ref="A743:I743"/>
    <mergeCell ref="A791:J791"/>
    <mergeCell ref="G821:G822"/>
    <mergeCell ref="H821:H822"/>
    <mergeCell ref="B771:B772"/>
    <mergeCell ref="A828:J828"/>
    <mergeCell ref="F798:F799"/>
    <mergeCell ref="H811:H812"/>
    <mergeCell ref="A827:J827"/>
    <mergeCell ref="A712:J712"/>
    <mergeCell ref="G717:G718"/>
    <mergeCell ref="A723:I723"/>
    <mergeCell ref="C771:D771"/>
    <mergeCell ref="G771:G772"/>
    <mergeCell ref="E821:E822"/>
    <mergeCell ref="J821:J822"/>
    <mergeCell ref="F811:F812"/>
    <mergeCell ref="A816:J816"/>
    <mergeCell ref="I771:I772"/>
    <mergeCell ref="A769:G769"/>
    <mergeCell ref="A781:J781"/>
    <mergeCell ref="A778:J778"/>
    <mergeCell ref="A767:J767"/>
    <mergeCell ref="A766:J766"/>
    <mergeCell ref="A780:J780"/>
    <mergeCell ref="F771:F772"/>
    <mergeCell ref="A726:J726"/>
    <mergeCell ref="A729:J729"/>
    <mergeCell ref="A730:J730"/>
    <mergeCell ref="A724:I724"/>
    <mergeCell ref="A795:J795"/>
    <mergeCell ref="A731:J731"/>
    <mergeCell ref="J784:J785"/>
    <mergeCell ref="A771:A772"/>
    <mergeCell ref="A779:J779"/>
    <mergeCell ref="A793:J793"/>
    <mergeCell ref="C640:D640"/>
    <mergeCell ref="A765:J765"/>
    <mergeCell ref="A680:I680"/>
    <mergeCell ref="A678:I679"/>
    <mergeCell ref="E737:E738"/>
    <mergeCell ref="A737:A738"/>
    <mergeCell ref="A735:J735"/>
    <mergeCell ref="G737:G738"/>
    <mergeCell ref="C689:D689"/>
    <mergeCell ref="A717:A718"/>
    <mergeCell ref="A635:J635"/>
    <mergeCell ref="A628:A632"/>
    <mergeCell ref="F626:F627"/>
    <mergeCell ref="A700:J700"/>
    <mergeCell ref="J640:J641"/>
    <mergeCell ref="E640:E641"/>
    <mergeCell ref="J664:J677"/>
    <mergeCell ref="B662:B663"/>
    <mergeCell ref="J662:J663"/>
    <mergeCell ref="E662:E663"/>
    <mergeCell ref="A623:J623"/>
    <mergeCell ref="C610:D610"/>
    <mergeCell ref="E610:E611"/>
    <mergeCell ref="A639:J639"/>
    <mergeCell ref="H640:H641"/>
    <mergeCell ref="G640:G641"/>
    <mergeCell ref="B629:I629"/>
    <mergeCell ref="A624:J624"/>
    <mergeCell ref="E626:E627"/>
    <mergeCell ref="J626:J627"/>
    <mergeCell ref="A612:A619"/>
    <mergeCell ref="A565:J565"/>
    <mergeCell ref="H555:H556"/>
    <mergeCell ref="J567:J568"/>
    <mergeCell ref="B555:B556"/>
    <mergeCell ref="A626:A627"/>
    <mergeCell ref="B626:B627"/>
    <mergeCell ref="H567:H568"/>
    <mergeCell ref="J600:J601"/>
    <mergeCell ref="A595:J595"/>
    <mergeCell ref="J610:J611"/>
    <mergeCell ref="G600:G601"/>
    <mergeCell ref="A606:J606"/>
    <mergeCell ref="A607:J607"/>
    <mergeCell ref="A600:A601"/>
    <mergeCell ref="F610:F611"/>
    <mergeCell ref="F600:F601"/>
    <mergeCell ref="G610:G611"/>
    <mergeCell ref="A610:A611"/>
    <mergeCell ref="A609:J609"/>
    <mergeCell ref="A540:J540"/>
    <mergeCell ref="E547:E548"/>
    <mergeCell ref="A530:J530"/>
    <mergeCell ref="C547:D547"/>
    <mergeCell ref="A550:J550"/>
    <mergeCell ref="G547:G548"/>
    <mergeCell ref="F547:F548"/>
    <mergeCell ref="A516:J516"/>
    <mergeCell ref="A515:J515"/>
    <mergeCell ref="F520:F521"/>
    <mergeCell ref="A520:A521"/>
    <mergeCell ref="H520:H521"/>
    <mergeCell ref="J520:J521"/>
    <mergeCell ref="E520:E521"/>
    <mergeCell ref="G520:G521"/>
    <mergeCell ref="B520:B521"/>
    <mergeCell ref="C520:D520"/>
    <mergeCell ref="A500:J500"/>
    <mergeCell ref="A502:J502"/>
    <mergeCell ref="A503:J503"/>
    <mergeCell ref="A501:J501"/>
    <mergeCell ref="J507:J508"/>
    <mergeCell ref="C507:D507"/>
    <mergeCell ref="E507:E508"/>
    <mergeCell ref="H507:H508"/>
    <mergeCell ref="B507:B508"/>
    <mergeCell ref="A512:J512"/>
    <mergeCell ref="G507:G508"/>
    <mergeCell ref="A504:J504"/>
    <mergeCell ref="A507:A508"/>
    <mergeCell ref="A505:J505"/>
    <mergeCell ref="C476:D476"/>
    <mergeCell ref="E476:E477"/>
    <mergeCell ref="J476:J477"/>
    <mergeCell ref="A491:A492"/>
    <mergeCell ref="A489:J489"/>
    <mergeCell ref="G491:G492"/>
    <mergeCell ref="E491:E492"/>
    <mergeCell ref="A484:J484"/>
    <mergeCell ref="A482:J482"/>
    <mergeCell ref="A483:J483"/>
    <mergeCell ref="J491:J492"/>
    <mergeCell ref="B491:B492"/>
    <mergeCell ref="F491:F492"/>
    <mergeCell ref="H491:H492"/>
    <mergeCell ref="A488:J488"/>
    <mergeCell ref="A499:J499"/>
    <mergeCell ref="A486:J486"/>
    <mergeCell ref="A494:I494"/>
    <mergeCell ref="A451:I451"/>
    <mergeCell ref="A457:J457"/>
    <mergeCell ref="A452:J452"/>
    <mergeCell ref="A453:J453"/>
    <mergeCell ref="A455:J455"/>
    <mergeCell ref="A487:J487"/>
    <mergeCell ref="C461:D461"/>
    <mergeCell ref="A470:J470"/>
    <mergeCell ref="A468:J468"/>
    <mergeCell ref="A476:A477"/>
    <mergeCell ref="A464:I464"/>
    <mergeCell ref="A480:I480"/>
    <mergeCell ref="A458:J458"/>
    <mergeCell ref="A459:J459"/>
    <mergeCell ref="E461:E462"/>
    <mergeCell ref="B461:B462"/>
    <mergeCell ref="C491:D491"/>
    <mergeCell ref="F417:F418"/>
    <mergeCell ref="C448:D448"/>
    <mergeCell ref="A474:J474"/>
    <mergeCell ref="A466:J466"/>
    <mergeCell ref="F461:F462"/>
    <mergeCell ref="A467:J467"/>
    <mergeCell ref="A456:J456"/>
    <mergeCell ref="G461:G462"/>
    <mergeCell ref="A461:A462"/>
    <mergeCell ref="H242:H243"/>
    <mergeCell ref="A447:J447"/>
    <mergeCell ref="A383:IV383"/>
    <mergeCell ref="A403:J403"/>
    <mergeCell ref="E392:E393"/>
    <mergeCell ref="A389:J389"/>
    <mergeCell ref="J405:J406"/>
    <mergeCell ref="G392:G393"/>
    <mergeCell ref="B405:B406"/>
    <mergeCell ref="G405:G406"/>
    <mergeCell ref="A144:A146"/>
    <mergeCell ref="A217:J217"/>
    <mergeCell ref="A207:A208"/>
    <mergeCell ref="F207:F208"/>
    <mergeCell ref="F221:F222"/>
    <mergeCell ref="E161:E162"/>
    <mergeCell ref="C221:D221"/>
    <mergeCell ref="A170:J170"/>
    <mergeCell ref="A165:I165"/>
    <mergeCell ref="A167:I167"/>
    <mergeCell ref="A44:J44"/>
    <mergeCell ref="A110:J110"/>
    <mergeCell ref="A111:J111"/>
    <mergeCell ref="B117:B118"/>
    <mergeCell ref="B21:F21"/>
    <mergeCell ref="B30:H30"/>
    <mergeCell ref="A77:G77"/>
    <mergeCell ref="A86:A87"/>
    <mergeCell ref="E53:E54"/>
    <mergeCell ref="J117:J118"/>
    <mergeCell ref="B26:H26"/>
    <mergeCell ref="B29:F29"/>
    <mergeCell ref="A42:J42"/>
    <mergeCell ref="B33:F33"/>
    <mergeCell ref="A79:J79"/>
    <mergeCell ref="A53:A54"/>
    <mergeCell ref="B53:B54"/>
    <mergeCell ref="B35:F35"/>
    <mergeCell ref="A43:J43"/>
    <mergeCell ref="A55:A59"/>
    <mergeCell ref="B24:F24"/>
    <mergeCell ref="B28:F28"/>
    <mergeCell ref="B36:F36"/>
    <mergeCell ref="G53:G54"/>
    <mergeCell ref="B39:G39"/>
    <mergeCell ref="B14:F14"/>
    <mergeCell ref="B15:F15"/>
    <mergeCell ref="B17:H17"/>
    <mergeCell ref="B25:F25"/>
    <mergeCell ref="B34:F34"/>
    <mergeCell ref="A45:J45"/>
    <mergeCell ref="B31:F31"/>
    <mergeCell ref="B32:F32"/>
    <mergeCell ref="B37:H37"/>
    <mergeCell ref="B18:F18"/>
    <mergeCell ref="B16:F16"/>
    <mergeCell ref="B27:F27"/>
    <mergeCell ref="B19:F19"/>
    <mergeCell ref="B22:F22"/>
    <mergeCell ref="B23:F23"/>
    <mergeCell ref="B144:B146"/>
    <mergeCell ref="A49:J50"/>
    <mergeCell ref="J53:J54"/>
    <mergeCell ref="J86:J87"/>
    <mergeCell ref="G86:G87"/>
    <mergeCell ref="A1:J1"/>
    <mergeCell ref="A8:J8"/>
    <mergeCell ref="A10:J10"/>
    <mergeCell ref="A12:J12"/>
    <mergeCell ref="B13:H13"/>
    <mergeCell ref="H86:H87"/>
    <mergeCell ref="C53:D53"/>
    <mergeCell ref="A80:J80"/>
    <mergeCell ref="E86:E87"/>
    <mergeCell ref="H53:H54"/>
    <mergeCell ref="A95:I95"/>
    <mergeCell ref="A60:A76"/>
    <mergeCell ref="B86:B87"/>
    <mergeCell ref="C86:D86"/>
    <mergeCell ref="A90:A93"/>
    <mergeCell ref="A88:A89"/>
    <mergeCell ref="F242:F243"/>
    <mergeCell ref="B221:B222"/>
    <mergeCell ref="G221:G222"/>
    <mergeCell ref="A94:G94"/>
    <mergeCell ref="A235:J235"/>
    <mergeCell ref="B88:B89"/>
    <mergeCell ref="A151:I151"/>
    <mergeCell ref="A152:J152"/>
    <mergeCell ref="F103:F104"/>
    <mergeCell ref="E221:E222"/>
    <mergeCell ref="A236:J236"/>
    <mergeCell ref="A221:A222"/>
    <mergeCell ref="A238:H238"/>
    <mergeCell ref="A103:A104"/>
    <mergeCell ref="A105:A108"/>
    <mergeCell ref="I103:I104"/>
    <mergeCell ref="J103:J104"/>
    <mergeCell ref="J221:J222"/>
    <mergeCell ref="A150:I150"/>
    <mergeCell ref="A274:J274"/>
    <mergeCell ref="A276:A277"/>
    <mergeCell ref="C261:D261"/>
    <mergeCell ref="A269:J269"/>
    <mergeCell ref="A270:J270"/>
    <mergeCell ref="J276:J277"/>
    <mergeCell ref="A268:J268"/>
    <mergeCell ref="H261:H262"/>
    <mergeCell ref="J261:J262"/>
    <mergeCell ref="F261:F262"/>
    <mergeCell ref="B295:B296"/>
    <mergeCell ref="B276:B277"/>
    <mergeCell ref="C276:D276"/>
    <mergeCell ref="A282:J282"/>
    <mergeCell ref="A288:J288"/>
    <mergeCell ref="A280:I280"/>
    <mergeCell ref="H276:H277"/>
    <mergeCell ref="E276:E277"/>
    <mergeCell ref="A281:I281"/>
    <mergeCell ref="F276:F277"/>
    <mergeCell ref="E348:E349"/>
    <mergeCell ref="G348:G349"/>
    <mergeCell ref="A342:J342"/>
    <mergeCell ref="F348:F349"/>
    <mergeCell ref="A348:A349"/>
    <mergeCell ref="H348:H349"/>
    <mergeCell ref="C348:D348"/>
    <mergeCell ref="B348:B349"/>
    <mergeCell ref="A346:J346"/>
    <mergeCell ref="A344:J344"/>
    <mergeCell ref="C405:D405"/>
    <mergeCell ref="A405:A406"/>
    <mergeCell ref="A397:J397"/>
    <mergeCell ref="C392:D392"/>
    <mergeCell ref="J392:J393"/>
    <mergeCell ref="A392:A393"/>
    <mergeCell ref="H392:H393"/>
    <mergeCell ref="H334:H335"/>
    <mergeCell ref="F334:F335"/>
    <mergeCell ref="A322:I322"/>
    <mergeCell ref="B334:B335"/>
    <mergeCell ref="A343:J343"/>
    <mergeCell ref="A334:A335"/>
    <mergeCell ref="A327:J327"/>
    <mergeCell ref="J334:J335"/>
    <mergeCell ref="C334:D334"/>
    <mergeCell ref="A332:I332"/>
    <mergeCell ref="A359:G359"/>
    <mergeCell ref="A387:J387"/>
    <mergeCell ref="E374:E375"/>
    <mergeCell ref="A388:J388"/>
    <mergeCell ref="A380:I380"/>
    <mergeCell ref="A360:G360"/>
    <mergeCell ref="A372:J372"/>
    <mergeCell ref="A381:I381"/>
    <mergeCell ref="A366:J366"/>
    <mergeCell ref="G362:G363"/>
    <mergeCell ref="A422:J422"/>
    <mergeCell ref="A410:J410"/>
    <mergeCell ref="H417:H418"/>
    <mergeCell ref="G417:G418"/>
    <mergeCell ref="C417:D417"/>
    <mergeCell ref="A412:J412"/>
    <mergeCell ref="A413:J413"/>
    <mergeCell ref="A420:I420"/>
    <mergeCell ref="A414:J414"/>
    <mergeCell ref="J417:J418"/>
    <mergeCell ref="A390:J390"/>
    <mergeCell ref="E405:E406"/>
    <mergeCell ref="F405:F406"/>
    <mergeCell ref="F392:F393"/>
    <mergeCell ref="A396:I396"/>
    <mergeCell ref="A398:J398"/>
    <mergeCell ref="B392:B393"/>
    <mergeCell ref="A400:J400"/>
    <mergeCell ref="A401:J401"/>
    <mergeCell ref="A402:J402"/>
    <mergeCell ref="A408:I408"/>
    <mergeCell ref="A376:A378"/>
    <mergeCell ref="E362:E363"/>
    <mergeCell ref="C362:D362"/>
    <mergeCell ref="B362:B363"/>
    <mergeCell ref="I362:I363"/>
    <mergeCell ref="H362:H363"/>
    <mergeCell ref="F362:F363"/>
    <mergeCell ref="A369:J369"/>
    <mergeCell ref="J362:J363"/>
    <mergeCell ref="C374:D374"/>
    <mergeCell ref="B374:B375"/>
    <mergeCell ref="A371:J371"/>
    <mergeCell ref="A424:J424"/>
    <mergeCell ref="A417:A418"/>
    <mergeCell ref="A438:J438"/>
    <mergeCell ref="A437:J437"/>
    <mergeCell ref="A415:J415"/>
    <mergeCell ref="F428:F429"/>
    <mergeCell ref="G428:G429"/>
    <mergeCell ref="A426:J426"/>
    <mergeCell ref="A446:J446"/>
    <mergeCell ref="A423:J423"/>
    <mergeCell ref="C440:I440"/>
    <mergeCell ref="A428:A429"/>
    <mergeCell ref="A445:J445"/>
    <mergeCell ref="A431:I431"/>
    <mergeCell ref="E428:E429"/>
    <mergeCell ref="A434:J434"/>
    <mergeCell ref="C439:J439"/>
    <mergeCell ref="A784:A785"/>
    <mergeCell ref="B448:B449"/>
    <mergeCell ref="E448:E449"/>
    <mergeCell ref="F784:F785"/>
    <mergeCell ref="J448:J449"/>
    <mergeCell ref="A448:A449"/>
    <mergeCell ref="H448:H449"/>
    <mergeCell ref="B784:B785"/>
    <mergeCell ref="F448:F449"/>
    <mergeCell ref="H461:H462"/>
    <mergeCell ref="A898:C898"/>
    <mergeCell ref="A900:J900"/>
    <mergeCell ref="A888:B888"/>
    <mergeCell ref="C888:J888"/>
    <mergeCell ref="C889:J889"/>
    <mergeCell ref="C890:J890"/>
    <mergeCell ref="C891:J891"/>
    <mergeCell ref="C892:J892"/>
    <mergeCell ref="A894:J894"/>
    <mergeCell ref="A436:J436"/>
    <mergeCell ref="J428:J429"/>
    <mergeCell ref="A896:C896"/>
    <mergeCell ref="A886:B886"/>
    <mergeCell ref="C886:J886"/>
    <mergeCell ref="G448:G449"/>
    <mergeCell ref="A837:I837"/>
    <mergeCell ref="A838:I838"/>
    <mergeCell ref="A788:I788"/>
    <mergeCell ref="A881:J881"/>
    <mergeCell ref="A433:J433"/>
    <mergeCell ref="A384:J384"/>
    <mergeCell ref="A386:J386"/>
    <mergeCell ref="H428:H429"/>
    <mergeCell ref="H405:H406"/>
    <mergeCell ref="A425:J425"/>
    <mergeCell ref="E417:E418"/>
    <mergeCell ref="B428:B429"/>
    <mergeCell ref="B417:B418"/>
    <mergeCell ref="C428:D428"/>
    <mergeCell ref="A315:I315"/>
    <mergeCell ref="A326:J326"/>
    <mergeCell ref="J295:J296"/>
    <mergeCell ref="H149:I149"/>
    <mergeCell ref="A286:I286"/>
    <mergeCell ref="A287:J287"/>
    <mergeCell ref="F313:F314"/>
    <mergeCell ref="C295:D295"/>
    <mergeCell ref="A289:J289"/>
    <mergeCell ref="A310:J310"/>
  </mergeCells>
  <printOptions horizontalCentered="1" verticalCentered="1"/>
  <pageMargins left="0.3937007874015748" right="0.3937007874015748" top="0.3937007874015748" bottom="0.3937007874015748" header="0.5118110236220472" footer="0.1968503937007874"/>
  <pageSetup horizontalDpi="600" verticalDpi="600" orientation="landscape" paperSize="9" scale="85" r:id="rId2"/>
  <headerFooter alignWithMargins="0">
    <oddFooter>&amp;L&amp;"7,Normale"&amp;6Azienda  Unità Sanitaria Locale  4 - Teramo&amp;C&amp;8&amp;P/&amp;N&amp;R&amp;6Inventario B.I. Indisponibili aggiornato al 31.12.2016</oddFooter>
  </headerFooter>
  <rowBreaks count="73" manualBreakCount="73">
    <brk id="11" max="255" man="1"/>
    <brk id="41" max="9" man="1"/>
    <brk id="42" max="9" man="1"/>
    <brk id="43" max="9" man="1"/>
    <brk id="78" max="9" man="1"/>
    <brk id="95" max="9" man="1"/>
    <brk id="109" max="9" man="1"/>
    <brk id="133" max="9" man="1"/>
    <brk id="152" max="9" man="1"/>
    <brk id="169" max="9" man="1"/>
    <brk id="190" max="9" man="1"/>
    <brk id="203" max="9" man="1"/>
    <brk id="214" max="9" man="1"/>
    <brk id="234" max="9" man="1"/>
    <brk id="253" max="255" man="1"/>
    <brk id="267" max="9" man="1"/>
    <brk id="287" max="9" man="1"/>
    <brk id="308" max="9" man="1"/>
    <brk id="325" max="9" man="1"/>
    <brk id="326" max="9" man="1"/>
    <brk id="341" max="9" man="1"/>
    <brk id="342" max="255" man="1"/>
    <brk id="354" max="255" man="1"/>
    <brk id="355" max="9" man="1"/>
    <brk id="356" max="9" man="1"/>
    <brk id="368" max="255" man="1"/>
    <brk id="386" max="9" man="1"/>
    <brk id="399" max="9" man="1"/>
    <brk id="411" max="9" man="1"/>
    <brk id="421" max="9" man="1"/>
    <brk id="422" max="9" man="1"/>
    <brk id="435" max="9" man="1"/>
    <brk id="436" max="255" man="1"/>
    <brk id="454" max="255" man="1"/>
    <brk id="455" max="255" man="1"/>
    <brk id="467" max="9" man="1"/>
    <brk id="483" max="9" man="1"/>
    <brk id="484" max="255" man="1"/>
    <brk id="500" max="9" man="1"/>
    <brk id="501" max="9" man="1"/>
    <brk id="512" max="9" man="1"/>
    <brk id="513" max="9" man="1"/>
    <brk id="526" max="9" man="1"/>
    <brk id="527" max="9" man="1"/>
    <brk id="539" max="9" man="1"/>
    <brk id="540" max="255" man="1"/>
    <brk id="541" max="9" man="1"/>
    <brk id="561" max="9" man="1"/>
    <brk id="586" max="9" man="1"/>
    <brk id="605" max="9" man="1"/>
    <brk id="635" max="9" man="1"/>
    <brk id="655" max="9" man="1"/>
    <brk id="656" max="9" man="1"/>
    <brk id="682" max="9" man="1"/>
    <brk id="683" max="255" man="1"/>
    <brk id="697" max="9" man="1"/>
    <brk id="698" max="9" man="1"/>
    <brk id="699" max="9" man="1"/>
    <brk id="731" max="9" man="1"/>
    <brk id="746" max="9" man="1"/>
    <brk id="764" max="9" man="1"/>
    <brk id="777" max="9" man="1"/>
    <brk id="778" max="9" man="1"/>
    <brk id="790" max="9" man="1"/>
    <brk id="791" max="9" man="1"/>
    <brk id="803" max="255" man="1"/>
    <brk id="804" max="255" man="1"/>
    <brk id="826" max="9" man="1"/>
    <brk id="849" max="9" man="1"/>
    <brk id="850" max="9" man="1"/>
    <brk id="867" max="9" man="1"/>
    <brk id="868" max="9" man="1"/>
    <brk id="881" max="9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53"/>
  <sheetViews>
    <sheetView tabSelected="1" view="pageBreakPreview" zoomScale="60" workbookViewId="0" topLeftCell="A82">
      <selection activeCell="M111" sqref="M111"/>
    </sheetView>
  </sheetViews>
  <sheetFormatPr defaultColWidth="9.140625" defaultRowHeight="12.75"/>
  <cols>
    <col min="1" max="1" width="22.7109375" style="183" customWidth="1"/>
    <col min="2" max="2" width="16.57421875" style="16" customWidth="1"/>
    <col min="3" max="3" width="19.28125" style="16" customWidth="1"/>
    <col min="4" max="4" width="21.57421875" style="16" customWidth="1"/>
    <col min="5" max="5" width="2.140625" style="16" customWidth="1"/>
    <col min="6" max="6" width="18.00390625" style="16" customWidth="1"/>
    <col min="7" max="7" width="22.00390625" style="85" customWidth="1"/>
    <col min="8" max="8" width="1.421875" style="16" customWidth="1"/>
    <col min="9" max="9" width="19.140625" style="16" customWidth="1"/>
    <col min="10" max="10" width="21.140625" style="16" customWidth="1"/>
    <col min="11" max="11" width="23.28125" style="16" customWidth="1"/>
    <col min="12" max="12" width="37.00390625" style="0" bestFit="1" customWidth="1"/>
    <col min="13" max="13" width="30.00390625" style="0" bestFit="1" customWidth="1"/>
    <col min="16" max="16" width="20.421875" style="0" bestFit="1" customWidth="1"/>
  </cols>
  <sheetData>
    <row r="1" spans="1:11" s="100" customFormat="1" ht="41.25" customHeight="1" thickBot="1">
      <c r="A1" s="916" t="s">
        <v>358</v>
      </c>
      <c r="B1" s="917"/>
      <c r="C1" s="917"/>
      <c r="D1" s="917"/>
      <c r="E1" s="917"/>
      <c r="F1" s="917"/>
      <c r="G1" s="917"/>
      <c r="H1" s="917"/>
      <c r="I1" s="917"/>
      <c r="J1" s="917"/>
      <c r="K1" s="918"/>
    </row>
    <row r="2" spans="1:11" s="100" customFormat="1" ht="42.75" customHeight="1" thickBot="1">
      <c r="A2" s="337"/>
      <c r="B2" s="337"/>
      <c r="C2" s="337"/>
      <c r="D2" s="337"/>
      <c r="E2" s="337"/>
      <c r="F2" s="337"/>
      <c r="G2" s="337"/>
      <c r="H2" s="337"/>
      <c r="I2" s="337"/>
      <c r="J2" s="337"/>
      <c r="K2" s="337"/>
    </row>
    <row r="3" spans="1:11" s="99" customFormat="1" ht="24.75" customHeight="1" thickBot="1">
      <c r="A3" s="898" t="s">
        <v>174</v>
      </c>
      <c r="B3" s="899"/>
      <c r="C3" s="899"/>
      <c r="D3" s="899"/>
      <c r="E3" s="899"/>
      <c r="F3" s="899"/>
      <c r="G3" s="899"/>
      <c r="H3" s="899"/>
      <c r="I3" s="899"/>
      <c r="J3" s="899"/>
      <c r="K3" s="901"/>
    </row>
    <row r="4" spans="1:12" s="188" customFormat="1" ht="49.5" customHeight="1" thickBot="1">
      <c r="A4" s="200" t="s">
        <v>175</v>
      </c>
      <c r="B4" s="201" t="s">
        <v>176</v>
      </c>
      <c r="C4" s="204" t="s">
        <v>464</v>
      </c>
      <c r="D4" s="332" t="s">
        <v>469</v>
      </c>
      <c r="E4" s="202"/>
      <c r="F4" s="203" t="s">
        <v>9</v>
      </c>
      <c r="G4" s="204" t="s">
        <v>466</v>
      </c>
      <c r="H4" s="202"/>
      <c r="I4" s="224" t="s">
        <v>329</v>
      </c>
      <c r="J4" s="224" t="s">
        <v>467</v>
      </c>
      <c r="K4" s="335" t="s">
        <v>468</v>
      </c>
      <c r="L4" s="134"/>
    </row>
    <row r="5" spans="1:13" s="232" customFormat="1" ht="28.5" customHeight="1">
      <c r="A5" s="890" t="s">
        <v>177</v>
      </c>
      <c r="B5" s="954">
        <v>91.57</v>
      </c>
      <c r="C5" s="423">
        <v>571354.03</v>
      </c>
      <c r="D5" s="141">
        <v>47767836.63</v>
      </c>
      <c r="E5" s="437"/>
      <c r="F5" s="951">
        <f>B5*1.25</f>
        <v>114.46249999999999</v>
      </c>
      <c r="G5" s="260">
        <f>(C5+D5)*1.05</f>
        <v>50756150.193</v>
      </c>
      <c r="H5" s="437"/>
      <c r="I5" s="945">
        <f>F5*1.2</f>
        <v>137.355</v>
      </c>
      <c r="J5" s="453">
        <f>(C5*1.05)*1.2</f>
        <v>719906.0778000001</v>
      </c>
      <c r="K5" s="453">
        <f>(D5*1.05)*1.4</f>
        <v>70218719.8461</v>
      </c>
      <c r="L5" s="253"/>
      <c r="M5" s="253"/>
    </row>
    <row r="6" spans="1:13" s="232" customFormat="1" ht="16.5" customHeight="1">
      <c r="A6" s="890"/>
      <c r="B6" s="954"/>
      <c r="C6" s="607"/>
      <c r="D6" s="436">
        <v>38178747.58</v>
      </c>
      <c r="E6" s="439"/>
      <c r="F6" s="951"/>
      <c r="G6" s="436">
        <f>D6</f>
        <v>38178747.58</v>
      </c>
      <c r="H6" s="439"/>
      <c r="I6" s="945"/>
      <c r="J6" s="607"/>
      <c r="K6" s="608">
        <f>D6</f>
        <v>38178747.58</v>
      </c>
      <c r="L6" s="253"/>
      <c r="M6" s="253"/>
    </row>
    <row r="7" spans="1:13" s="232" customFormat="1" ht="26.25" customHeight="1">
      <c r="A7" s="891"/>
      <c r="B7" s="955"/>
      <c r="C7" s="607"/>
      <c r="D7" s="448" t="s">
        <v>230</v>
      </c>
      <c r="E7" s="439"/>
      <c r="F7" s="952"/>
      <c r="G7" s="472" t="s">
        <v>230</v>
      </c>
      <c r="H7" s="439"/>
      <c r="I7" s="946"/>
      <c r="J7" s="607"/>
      <c r="K7" s="449" t="s">
        <v>230</v>
      </c>
      <c r="L7" s="253"/>
      <c r="M7" s="253">
        <f>D6+14929.72</f>
        <v>38193677.3</v>
      </c>
    </row>
    <row r="8" spans="1:13" s="232" customFormat="1" ht="24.75" customHeight="1">
      <c r="A8" s="889" t="s">
        <v>77</v>
      </c>
      <c r="B8" s="895">
        <v>0</v>
      </c>
      <c r="C8" s="141"/>
      <c r="D8" s="465">
        <v>579467</v>
      </c>
      <c r="E8" s="437"/>
      <c r="F8" s="473">
        <v>0</v>
      </c>
      <c r="G8" s="428">
        <f>D8*1.05</f>
        <v>608440.35</v>
      </c>
      <c r="H8" s="437"/>
      <c r="I8" s="303">
        <f>F8*1.2</f>
        <v>0</v>
      </c>
      <c r="J8" s="466"/>
      <c r="K8" s="77">
        <f>(D8*1.05)*1.4</f>
        <v>851816.4899999999</v>
      </c>
      <c r="M8" s="647"/>
    </row>
    <row r="9" spans="1:12" s="232" customFormat="1" ht="24.75" customHeight="1">
      <c r="A9" s="890"/>
      <c r="B9" s="896"/>
      <c r="C9" s="607"/>
      <c r="D9" s="504">
        <v>356696.68</v>
      </c>
      <c r="E9" s="437"/>
      <c r="F9" s="473"/>
      <c r="G9" s="505">
        <f>D9</f>
        <v>356696.68</v>
      </c>
      <c r="H9" s="437"/>
      <c r="I9" s="435"/>
      <c r="J9" s="607"/>
      <c r="K9" s="506">
        <f>D9</f>
        <v>356696.68</v>
      </c>
      <c r="L9" s="253"/>
    </row>
    <row r="10" spans="1:11" s="232" customFormat="1" ht="24.75" customHeight="1">
      <c r="A10" s="891"/>
      <c r="B10" s="897"/>
      <c r="C10" s="607"/>
      <c r="D10" s="448" t="s">
        <v>230</v>
      </c>
      <c r="E10" s="437"/>
      <c r="F10" s="473"/>
      <c r="G10" s="448" t="s">
        <v>230</v>
      </c>
      <c r="H10" s="437"/>
      <c r="I10" s="435"/>
      <c r="J10" s="607"/>
      <c r="K10" s="472" t="s">
        <v>230</v>
      </c>
    </row>
    <row r="11" spans="1:12" s="232" customFormat="1" ht="20.25" customHeight="1">
      <c r="A11" s="889" t="s">
        <v>78</v>
      </c>
      <c r="B11" s="895">
        <v>0</v>
      </c>
      <c r="C11" s="607"/>
      <c r="D11" s="474">
        <v>632269</v>
      </c>
      <c r="E11" s="475"/>
      <c r="F11" s="92"/>
      <c r="G11" s="428">
        <f>D11*1.05</f>
        <v>663882.4500000001</v>
      </c>
      <c r="H11" s="475"/>
      <c r="I11" s="953">
        <f>F12*1.2</f>
        <v>0</v>
      </c>
      <c r="K11" s="77">
        <f>G11*1.4</f>
        <v>929435.43</v>
      </c>
      <c r="L11" s="253"/>
    </row>
    <row r="12" spans="1:12" s="232" customFormat="1" ht="27" customHeight="1">
      <c r="A12" s="890"/>
      <c r="B12" s="896"/>
      <c r="C12" s="607"/>
      <c r="D12" s="436">
        <v>677816.24</v>
      </c>
      <c r="E12" s="476"/>
      <c r="F12" s="92"/>
      <c r="G12" s="436">
        <f>D12</f>
        <v>677816.24</v>
      </c>
      <c r="H12" s="476"/>
      <c r="I12" s="945"/>
      <c r="J12" s="607"/>
      <c r="K12" s="477">
        <f>D12</f>
        <v>677816.24</v>
      </c>
      <c r="L12" s="253"/>
    </row>
    <row r="13" spans="1:12" s="232" customFormat="1" ht="15.75" customHeight="1">
      <c r="A13" s="891"/>
      <c r="B13" s="897"/>
      <c r="C13" s="607"/>
      <c r="D13" s="448" t="s">
        <v>230</v>
      </c>
      <c r="E13" s="478"/>
      <c r="F13" s="92"/>
      <c r="G13" s="448" t="s">
        <v>230</v>
      </c>
      <c r="H13" s="478"/>
      <c r="I13" s="946"/>
      <c r="J13" s="607"/>
      <c r="K13" s="449" t="s">
        <v>230</v>
      </c>
      <c r="L13" s="253"/>
    </row>
    <row r="14" spans="1:11" s="223" customFormat="1" ht="8.25" customHeight="1" thickBot="1">
      <c r="A14" s="248"/>
      <c r="B14" s="222"/>
      <c r="C14" s="249"/>
      <c r="D14" s="249"/>
      <c r="E14" s="250"/>
      <c r="F14" s="222"/>
      <c r="G14" s="249"/>
      <c r="H14" s="250"/>
      <c r="I14" s="231"/>
      <c r="J14" s="249"/>
      <c r="K14" s="249"/>
    </row>
    <row r="15" spans="1:12" s="166" customFormat="1" ht="25.5" customHeight="1">
      <c r="A15" s="225" t="s">
        <v>227</v>
      </c>
      <c r="B15" s="208">
        <f>SUM(B5:B11)</f>
        <v>91.57</v>
      </c>
      <c r="C15" s="209"/>
      <c r="D15" s="330"/>
      <c r="E15" s="210"/>
      <c r="F15" s="211">
        <f>SUM(F5:F13)</f>
        <v>114.46249999999999</v>
      </c>
      <c r="G15" s="212"/>
      <c r="H15" s="210"/>
      <c r="I15" s="287">
        <f>SUM(I5:I13)</f>
        <v>137.355</v>
      </c>
      <c r="J15" s="326"/>
      <c r="K15" s="327"/>
      <c r="L15" s="134"/>
    </row>
    <row r="16" spans="1:13" s="166" customFormat="1" ht="18.75" customHeight="1">
      <c r="A16" s="226" t="s">
        <v>490</v>
      </c>
      <c r="B16" s="213"/>
      <c r="C16" s="214">
        <f>C5</f>
        <v>571354.03</v>
      </c>
      <c r="D16" s="214">
        <f>D5+D8+D11</f>
        <v>48979572.63</v>
      </c>
      <c r="E16" s="215"/>
      <c r="F16" s="216">
        <v>0</v>
      </c>
      <c r="G16" s="191">
        <f>G5+G8+G11</f>
        <v>52028472.99300001</v>
      </c>
      <c r="H16" s="215"/>
      <c r="I16" s="286"/>
      <c r="J16" s="87">
        <f>J5</f>
        <v>719906.0778000001</v>
      </c>
      <c r="K16" s="329">
        <f>K5+K8+K11</f>
        <v>71999971.7661</v>
      </c>
      <c r="L16" s="134"/>
      <c r="M16" s="134"/>
    </row>
    <row r="17" spans="1:13" s="166" customFormat="1" ht="27.75" customHeight="1">
      <c r="A17" s="559" t="s">
        <v>229</v>
      </c>
      <c r="B17" s="560"/>
      <c r="C17" s="560"/>
      <c r="D17" s="561">
        <f>D6+D9+D12</f>
        <v>39213260.5</v>
      </c>
      <c r="E17" s="215"/>
      <c r="F17" s="562">
        <v>0</v>
      </c>
      <c r="G17" s="563">
        <f>D17</f>
        <v>39213260.5</v>
      </c>
      <c r="H17" s="215"/>
      <c r="I17" s="560"/>
      <c r="K17" s="564">
        <f>K6+K9+K12</f>
        <v>39213260.5</v>
      </c>
      <c r="L17" s="134"/>
      <c r="M17" s="134"/>
    </row>
    <row r="18" spans="1:13" s="168" customFormat="1" ht="25.5" customHeight="1" thickBot="1">
      <c r="A18" s="187" t="s">
        <v>290</v>
      </c>
      <c r="B18" s="186">
        <f>SUM(B15:B17)</f>
        <v>91.57</v>
      </c>
      <c r="C18" s="186">
        <f>SUM(C15:C17)</f>
        <v>571354.03</v>
      </c>
      <c r="D18" s="186">
        <f>SUM(D15:D17)</f>
        <v>88192833.13</v>
      </c>
      <c r="E18" s="206"/>
      <c r="F18" s="197">
        <f>SUM(F15:F17)</f>
        <v>114.46249999999999</v>
      </c>
      <c r="G18" s="623">
        <f>SUM(G15:G17)</f>
        <v>91241733.493</v>
      </c>
      <c r="H18" s="206"/>
      <c r="I18" s="288">
        <f>SUM(I15:I17)</f>
        <v>137.355</v>
      </c>
      <c r="J18" s="323">
        <f>SUM(J15:J17)</f>
        <v>719906.0778000001</v>
      </c>
      <c r="K18" s="324">
        <f>SUM(K15:K17)</f>
        <v>111213232.2661</v>
      </c>
      <c r="L18" s="336">
        <f>D18-87349932.5</f>
        <v>842900.6299999952</v>
      </c>
      <c r="M18" s="336"/>
    </row>
    <row r="19" spans="1:12" s="219" customFormat="1" ht="27" customHeight="1" thickBot="1">
      <c r="A19" s="180"/>
      <c r="B19" s="251"/>
      <c r="C19" s="251"/>
      <c r="D19" s="251"/>
      <c r="E19" s="251"/>
      <c r="F19" s="251"/>
      <c r="G19" s="251"/>
      <c r="H19" s="252"/>
      <c r="I19" s="252"/>
      <c r="J19" s="175"/>
      <c r="K19" s="175"/>
      <c r="L19" s="174"/>
    </row>
    <row r="20" spans="1:12" s="100" customFormat="1" ht="41.25" customHeight="1" thickBot="1">
      <c r="A20" s="916" t="s">
        <v>358</v>
      </c>
      <c r="B20" s="917"/>
      <c r="C20" s="917"/>
      <c r="D20" s="917"/>
      <c r="E20" s="917"/>
      <c r="F20" s="917"/>
      <c r="G20" s="917"/>
      <c r="H20" s="917"/>
      <c r="I20" s="917"/>
      <c r="J20" s="917"/>
      <c r="K20" s="918"/>
      <c r="L20" s="636"/>
    </row>
    <row r="21" spans="1:11" s="100" customFormat="1" ht="42.75" customHeight="1" thickBot="1">
      <c r="A21" s="337"/>
      <c r="B21" s="337"/>
      <c r="C21" s="337"/>
      <c r="D21" s="337"/>
      <c r="E21" s="337"/>
      <c r="F21" s="337"/>
      <c r="G21" s="337"/>
      <c r="H21" s="337"/>
      <c r="I21" s="337"/>
      <c r="J21" s="337"/>
      <c r="K21" s="337"/>
    </row>
    <row r="22" spans="1:13" s="99" customFormat="1" ht="32.25" customHeight="1" thickBot="1">
      <c r="A22" s="898" t="s">
        <v>294</v>
      </c>
      <c r="B22" s="899"/>
      <c r="C22" s="899"/>
      <c r="D22" s="899"/>
      <c r="E22" s="899"/>
      <c r="F22" s="899"/>
      <c r="G22" s="899"/>
      <c r="H22" s="899"/>
      <c r="I22" s="899"/>
      <c r="J22" s="899"/>
      <c r="K22" s="901"/>
      <c r="L22" s="396"/>
      <c r="M22" s="265"/>
    </row>
    <row r="23" spans="1:13" s="188" customFormat="1" ht="46.5" customHeight="1" thickBot="1">
      <c r="A23" s="200" t="s">
        <v>175</v>
      </c>
      <c r="B23" s="201" t="s">
        <v>176</v>
      </c>
      <c r="C23" s="204" t="s">
        <v>464</v>
      </c>
      <c r="D23" s="508" t="s">
        <v>469</v>
      </c>
      <c r="E23" s="202"/>
      <c r="F23" s="203" t="s">
        <v>9</v>
      </c>
      <c r="G23" s="204" t="s">
        <v>466</v>
      </c>
      <c r="H23" s="202"/>
      <c r="I23" s="224" t="s">
        <v>329</v>
      </c>
      <c r="J23" s="224" t="s">
        <v>467</v>
      </c>
      <c r="K23" s="335" t="s">
        <v>468</v>
      </c>
      <c r="L23" s="518"/>
      <c r="M23" s="645"/>
    </row>
    <row r="24" spans="1:13" s="232" customFormat="1" ht="19.5" customHeight="1">
      <c r="A24" s="890" t="s">
        <v>79</v>
      </c>
      <c r="B24" s="450">
        <v>313.5</v>
      </c>
      <c r="C24" s="423">
        <v>85448.84</v>
      </c>
      <c r="D24" s="423">
        <v>19708689.54</v>
      </c>
      <c r="E24" s="437"/>
      <c r="F24" s="451">
        <f>B24*1.25</f>
        <v>391.875</v>
      </c>
      <c r="G24" s="452">
        <f>(D24+C24)*1.05</f>
        <v>20783845.299</v>
      </c>
      <c r="H24" s="437"/>
      <c r="I24" s="303">
        <f>F24*1.2</f>
        <v>470.25</v>
      </c>
      <c r="J24" s="453">
        <f>(C24*1.05)*1.2</f>
        <v>107665.5384</v>
      </c>
      <c r="K24" s="77">
        <f>(D24*1.05)*1.4</f>
        <v>28971773.6238</v>
      </c>
      <c r="L24" s="253"/>
      <c r="M24" s="264"/>
    </row>
    <row r="25" spans="1:13" s="232" customFormat="1" ht="16.5" customHeight="1">
      <c r="A25" s="933"/>
      <c r="B25" s="454">
        <v>108000</v>
      </c>
      <c r="C25" s="607"/>
      <c r="D25" s="436">
        <v>7973449.77</v>
      </c>
      <c r="E25" s="439"/>
      <c r="F25" s="455">
        <v>108000</v>
      </c>
      <c r="G25" s="436">
        <f>D25</f>
        <v>7973449.77</v>
      </c>
      <c r="H25" s="439"/>
      <c r="I25" s="456">
        <v>108000</v>
      </c>
      <c r="J25" s="607"/>
      <c r="K25" s="608">
        <f>D25</f>
        <v>7973449.77</v>
      </c>
      <c r="L25" s="253"/>
      <c r="M25" s="264"/>
    </row>
    <row r="26" spans="1:13" s="232" customFormat="1" ht="18" customHeight="1">
      <c r="A26" s="934"/>
      <c r="B26" s="457" t="s">
        <v>206</v>
      </c>
      <c r="C26" s="607"/>
      <c r="D26" s="458" t="s">
        <v>230</v>
      </c>
      <c r="E26" s="439"/>
      <c r="F26" s="459" t="s">
        <v>206</v>
      </c>
      <c r="G26" s="448" t="s">
        <v>230</v>
      </c>
      <c r="H26" s="439"/>
      <c r="I26" s="460" t="s">
        <v>206</v>
      </c>
      <c r="J26" s="607"/>
      <c r="K26" s="461" t="s">
        <v>230</v>
      </c>
      <c r="M26" s="264"/>
    </row>
    <row r="27" spans="1:12" s="232" customFormat="1" ht="20.25" customHeight="1">
      <c r="A27" s="179" t="s">
        <v>80</v>
      </c>
      <c r="B27" s="609">
        <v>0</v>
      </c>
      <c r="C27" s="141"/>
      <c r="D27" s="463">
        <v>290529</v>
      </c>
      <c r="E27" s="437"/>
      <c r="F27" s="464">
        <v>0</v>
      </c>
      <c r="G27" s="428">
        <f>D27*1.05</f>
        <v>305055.45</v>
      </c>
      <c r="H27" s="437"/>
      <c r="I27" s="303"/>
      <c r="J27" s="77"/>
      <c r="K27" s="466">
        <f>(D27*1.05)*1.4</f>
        <v>427077.63</v>
      </c>
      <c r="L27" s="253"/>
    </row>
    <row r="28" spans="1:11" s="232" customFormat="1" ht="19.5" customHeight="1">
      <c r="A28" s="179" t="s">
        <v>81</v>
      </c>
      <c r="B28" s="514">
        <v>0</v>
      </c>
      <c r="C28" s="141"/>
      <c r="D28" s="465">
        <v>772509</v>
      </c>
      <c r="E28" s="437"/>
      <c r="F28" s="466">
        <v>0</v>
      </c>
      <c r="G28" s="428">
        <f>D28*1.05</f>
        <v>811134.4500000001</v>
      </c>
      <c r="H28" s="437"/>
      <c r="I28" s="303"/>
      <c r="J28" s="77"/>
      <c r="K28" s="466">
        <f>(D28*1.05)*1.4</f>
        <v>1135588.23</v>
      </c>
    </row>
    <row r="29" spans="1:12" s="232" customFormat="1" ht="30" customHeight="1">
      <c r="A29" s="889" t="s">
        <v>82</v>
      </c>
      <c r="B29" s="960">
        <v>0</v>
      </c>
      <c r="C29" s="141"/>
      <c r="D29" s="282">
        <v>251618</v>
      </c>
      <c r="E29" s="437"/>
      <c r="F29" s="444">
        <v>0</v>
      </c>
      <c r="G29" s="428">
        <f>D29*1.05</f>
        <v>264198.9</v>
      </c>
      <c r="H29" s="437"/>
      <c r="I29" s="303"/>
      <c r="J29" s="77"/>
      <c r="K29" s="466">
        <f>(D29*1.05)*1.4</f>
        <v>369878.46</v>
      </c>
      <c r="L29" s="397"/>
    </row>
    <row r="30" spans="1:12" s="232" customFormat="1" ht="27.75" customHeight="1">
      <c r="A30" s="890"/>
      <c r="B30" s="966"/>
      <c r="C30" s="141"/>
      <c r="D30" s="510">
        <v>2886085.06</v>
      </c>
      <c r="E30" s="509"/>
      <c r="F30" s="444"/>
      <c r="G30" s="510">
        <f>D30</f>
        <v>2886085.06</v>
      </c>
      <c r="H30" s="437"/>
      <c r="I30" s="303"/>
      <c r="J30" s="77"/>
      <c r="K30" s="610">
        <f>D30</f>
        <v>2886085.06</v>
      </c>
      <c r="L30" s="397"/>
    </row>
    <row r="31" spans="1:12" s="232" customFormat="1" ht="27.75" customHeight="1">
      <c r="A31" s="891"/>
      <c r="B31" s="961"/>
      <c r="C31" s="141"/>
      <c r="D31" s="511" t="s">
        <v>230</v>
      </c>
      <c r="E31" s="509"/>
      <c r="F31" s="444"/>
      <c r="G31" s="511" t="s">
        <v>230</v>
      </c>
      <c r="H31" s="437"/>
      <c r="I31" s="303"/>
      <c r="J31" s="77"/>
      <c r="K31" s="611" t="s">
        <v>230</v>
      </c>
      <c r="L31" s="627"/>
    </row>
    <row r="32" spans="1:12" s="232" customFormat="1" ht="23.25" customHeight="1">
      <c r="A32" s="889" t="s">
        <v>83</v>
      </c>
      <c r="B32" s="960">
        <v>0</v>
      </c>
      <c r="C32" s="141"/>
      <c r="D32" s="463">
        <v>885724</v>
      </c>
      <c r="E32" s="437"/>
      <c r="F32" s="466">
        <v>0</v>
      </c>
      <c r="G32" s="428">
        <f>D32*1.05</f>
        <v>930010.2000000001</v>
      </c>
      <c r="H32" s="437"/>
      <c r="I32" s="303"/>
      <c r="J32" s="77"/>
      <c r="K32" s="466">
        <f>(D32*1.05)*1.4</f>
        <v>1302014.28</v>
      </c>
      <c r="L32" s="628"/>
    </row>
    <row r="33" spans="1:13" s="232" customFormat="1" ht="16.5" customHeight="1">
      <c r="A33" s="890"/>
      <c r="B33" s="966"/>
      <c r="C33" s="607"/>
      <c r="D33" s="436">
        <v>975529.79</v>
      </c>
      <c r="E33" s="439"/>
      <c r="F33" s="468"/>
      <c r="G33" s="436">
        <f>D33</f>
        <v>975529.79</v>
      </c>
      <c r="H33" s="439"/>
      <c r="I33" s="303"/>
      <c r="J33" s="607"/>
      <c r="K33" s="469">
        <f>D33</f>
        <v>975529.79</v>
      </c>
      <c r="M33" s="264"/>
    </row>
    <row r="34" spans="1:13" s="232" customFormat="1" ht="15.75" customHeight="1">
      <c r="A34" s="891"/>
      <c r="B34" s="961"/>
      <c r="C34" s="607"/>
      <c r="D34" s="458" t="s">
        <v>230</v>
      </c>
      <c r="E34" s="439"/>
      <c r="F34" s="470"/>
      <c r="G34" s="448" t="s">
        <v>230</v>
      </c>
      <c r="H34" s="439"/>
      <c r="I34" s="303"/>
      <c r="J34" s="607"/>
      <c r="K34" s="461" t="s">
        <v>230</v>
      </c>
      <c r="L34" s="253"/>
      <c r="M34" s="264"/>
    </row>
    <row r="35" spans="1:11" s="232" customFormat="1" ht="19.5" customHeight="1">
      <c r="A35" s="179" t="s">
        <v>84</v>
      </c>
      <c r="B35" s="77">
        <v>0</v>
      </c>
      <c r="C35" s="465"/>
      <c r="D35" s="465">
        <v>518853</v>
      </c>
      <c r="E35" s="437"/>
      <c r="F35" s="466">
        <v>0</v>
      </c>
      <c r="G35" s="191">
        <f>D35*1.05</f>
        <v>544795.65</v>
      </c>
      <c r="H35" s="437"/>
      <c r="I35" s="303"/>
      <c r="J35" s="77"/>
      <c r="K35" s="466">
        <f>(D35*1.05)*1.4</f>
        <v>762713.91</v>
      </c>
    </row>
    <row r="36" spans="1:12" s="232" customFormat="1" ht="17.25" customHeight="1">
      <c r="A36" s="228" t="s">
        <v>85</v>
      </c>
      <c r="B36" s="422">
        <v>0</v>
      </c>
      <c r="C36" s="432">
        <v>49063.5</v>
      </c>
      <c r="D36" s="141">
        <v>373848</v>
      </c>
      <c r="E36" s="437"/>
      <c r="F36" s="413">
        <v>0</v>
      </c>
      <c r="G36" s="434">
        <f>(C36+D36)*1.05</f>
        <v>444057.075</v>
      </c>
      <c r="H36" s="437"/>
      <c r="I36" s="303"/>
      <c r="J36" s="413">
        <f>(C36*1.05)*1.2</f>
        <v>61820.01</v>
      </c>
      <c r="K36" s="77">
        <f>(D36*1.05)*1.4</f>
        <v>549556.56</v>
      </c>
      <c r="L36" s="253"/>
    </row>
    <row r="37" spans="1:12" s="232" customFormat="1" ht="17.25" customHeight="1">
      <c r="A37" s="889" t="s">
        <v>92</v>
      </c>
      <c r="B37" s="932">
        <v>0</v>
      </c>
      <c r="C37" s="141"/>
      <c r="D37" s="513"/>
      <c r="E37" s="437"/>
      <c r="F37" s="77"/>
      <c r="G37" s="513">
        <f>D37*1.05</f>
        <v>0</v>
      </c>
      <c r="H37" s="437"/>
      <c r="I37" s="303"/>
      <c r="J37" s="77"/>
      <c r="K37" s="422">
        <f>(D37*1.05)*1.4</f>
        <v>0</v>
      </c>
      <c r="L37" s="253"/>
    </row>
    <row r="38" spans="1:11" s="232" customFormat="1" ht="17.25" customHeight="1">
      <c r="A38" s="890"/>
      <c r="B38" s="932"/>
      <c r="C38" s="465"/>
      <c r="D38" s="516">
        <v>337271.19</v>
      </c>
      <c r="E38" s="509"/>
      <c r="F38" s="514"/>
      <c r="G38" s="516">
        <f>D38</f>
        <v>337271.19</v>
      </c>
      <c r="H38" s="509"/>
      <c r="I38" s="303"/>
      <c r="J38" s="514"/>
      <c r="K38" s="515">
        <f>D38</f>
        <v>337271.19</v>
      </c>
    </row>
    <row r="39" spans="1:12" s="232" customFormat="1" ht="24" customHeight="1">
      <c r="A39" s="891"/>
      <c r="B39" s="932"/>
      <c r="C39" s="471"/>
      <c r="D39" s="517" t="s">
        <v>230</v>
      </c>
      <c r="E39" s="512"/>
      <c r="F39" s="514"/>
      <c r="G39" s="517" t="s">
        <v>230</v>
      </c>
      <c r="H39" s="512"/>
      <c r="I39" s="431"/>
      <c r="J39" s="471"/>
      <c r="K39" s="517" t="s">
        <v>230</v>
      </c>
      <c r="L39" s="253"/>
    </row>
    <row r="40" spans="1:11" s="232" customFormat="1" ht="6.75" customHeight="1" thickBot="1">
      <c r="A40" s="234"/>
      <c r="B40" s="253"/>
      <c r="C40" s="235"/>
      <c r="D40" s="235"/>
      <c r="E40" s="254"/>
      <c r="F40" s="253"/>
      <c r="G40" s="235"/>
      <c r="H40" s="254"/>
      <c r="I40" s="254"/>
      <c r="J40" s="235"/>
      <c r="K40" s="235"/>
    </row>
    <row r="41" spans="1:12" s="166" customFormat="1" ht="18.75" customHeight="1">
      <c r="A41" s="225" t="s">
        <v>227</v>
      </c>
      <c r="B41" s="208">
        <f>B24</f>
        <v>313.5</v>
      </c>
      <c r="C41" s="209">
        <v>0</v>
      </c>
      <c r="D41" s="208"/>
      <c r="E41" s="210"/>
      <c r="F41" s="211">
        <v>391.875</v>
      </c>
      <c r="G41" s="212">
        <f>C41*1.05</f>
        <v>0</v>
      </c>
      <c r="H41" s="210"/>
      <c r="I41" s="287">
        <v>470.25</v>
      </c>
      <c r="J41" s="326">
        <f>G41*1.2</f>
        <v>0</v>
      </c>
      <c r="K41" s="327"/>
      <c r="L41" s="134"/>
    </row>
    <row r="42" spans="1:12" s="171" customFormat="1" ht="18.75" customHeight="1">
      <c r="A42" s="227" t="s">
        <v>49</v>
      </c>
      <c r="B42" s="220">
        <v>108000</v>
      </c>
      <c r="C42" s="229">
        <v>0</v>
      </c>
      <c r="D42" s="220"/>
      <c r="E42" s="207"/>
      <c r="F42" s="221">
        <v>108000</v>
      </c>
      <c r="G42" s="230"/>
      <c r="H42" s="207"/>
      <c r="I42" s="220">
        <v>108000</v>
      </c>
      <c r="J42" s="325">
        <f>G42*1.2</f>
        <v>0</v>
      </c>
      <c r="K42" s="328"/>
      <c r="L42" s="134"/>
    </row>
    <row r="43" spans="1:12" s="166" customFormat="1" ht="18.75" customHeight="1">
      <c r="A43" s="226" t="s">
        <v>228</v>
      </c>
      <c r="B43" s="213">
        <v>0</v>
      </c>
      <c r="C43" s="214">
        <f>C24+C27+C28+C29+C32+C35+C36+C39</f>
        <v>134512.34</v>
      </c>
      <c r="D43" s="213">
        <f>D24+D27+D28+D29+D32+D35+D36+D37</f>
        <v>22801770.54</v>
      </c>
      <c r="E43" s="215"/>
      <c r="F43" s="216">
        <v>0</v>
      </c>
      <c r="G43" s="191">
        <f>G24+G27+G28+G29+G32+G35+G36</f>
        <v>24083097.023999993</v>
      </c>
      <c r="H43" s="215"/>
      <c r="I43" s="286"/>
      <c r="J43" s="87">
        <f>J24+J27+J28+J29+J32+J35+J36+J39</f>
        <v>169485.5484</v>
      </c>
      <c r="K43" s="329">
        <f>K24+K27+K28+K29+K32+K35+K36+K37</f>
        <v>33518602.6938</v>
      </c>
      <c r="L43" s="134"/>
    </row>
    <row r="44" spans="1:13" s="166" customFormat="1" ht="17.25" customHeight="1">
      <c r="A44" s="559" t="s">
        <v>229</v>
      </c>
      <c r="B44" s="560">
        <v>0</v>
      </c>
      <c r="C44" s="561"/>
      <c r="D44" s="560">
        <f>D25+D30+D33+D38</f>
        <v>12172335.81</v>
      </c>
      <c r="E44" s="215"/>
      <c r="F44" s="562">
        <v>0</v>
      </c>
      <c r="G44" s="563">
        <f>G25+G30+G33+G38</f>
        <v>12172335.81</v>
      </c>
      <c r="H44" s="215"/>
      <c r="I44" s="560"/>
      <c r="J44" s="564"/>
      <c r="K44" s="565">
        <f>K25+K30+K33+K38</f>
        <v>12172335.81</v>
      </c>
      <c r="L44" s="134"/>
      <c r="M44" s="566"/>
    </row>
    <row r="45" spans="1:13" s="168" customFormat="1" ht="20.25" customHeight="1" thickBot="1">
      <c r="A45" s="187" t="s">
        <v>290</v>
      </c>
      <c r="B45" s="186">
        <f>SUM(B41:B44)</f>
        <v>108313.5</v>
      </c>
      <c r="C45" s="196">
        <f>SUM(C41:C44)</f>
        <v>134512.34</v>
      </c>
      <c r="D45" s="186">
        <f>SUM(D41:D44)</f>
        <v>34974106.35</v>
      </c>
      <c r="E45" s="206"/>
      <c r="F45" s="197">
        <f>SUM(F41:F44)</f>
        <v>108391.875</v>
      </c>
      <c r="G45" s="623">
        <f>SUM(G43:G44)</f>
        <v>36255432.83399999</v>
      </c>
      <c r="H45" s="206"/>
      <c r="I45" s="288">
        <f>SUM(I41:I44)</f>
        <v>108470.25</v>
      </c>
      <c r="J45" s="323">
        <f>SUM(J41:J44)</f>
        <v>169485.5484</v>
      </c>
      <c r="K45" s="324">
        <f>SUM(K41:K44)</f>
        <v>45690938.5038</v>
      </c>
      <c r="L45" s="134"/>
      <c r="M45" s="336"/>
    </row>
    <row r="46" spans="1:13" s="100" customFormat="1" ht="41.25" customHeight="1" thickBot="1">
      <c r="A46" s="916" t="s">
        <v>358</v>
      </c>
      <c r="B46" s="917"/>
      <c r="C46" s="917"/>
      <c r="D46" s="917"/>
      <c r="E46" s="917"/>
      <c r="F46" s="917"/>
      <c r="G46" s="917"/>
      <c r="H46" s="917"/>
      <c r="I46" s="917"/>
      <c r="J46" s="917"/>
      <c r="K46" s="918"/>
      <c r="L46" s="636"/>
      <c r="M46" s="636"/>
    </row>
    <row r="47" spans="1:12" s="100" customFormat="1" ht="42.75" customHeight="1" thickBot="1">
      <c r="A47" s="337"/>
      <c r="B47" s="337"/>
      <c r="C47" s="337"/>
      <c r="D47" s="337"/>
      <c r="E47" s="337"/>
      <c r="F47" s="337"/>
      <c r="G47" s="337"/>
      <c r="H47" s="337"/>
      <c r="I47" s="337"/>
      <c r="J47" s="337"/>
      <c r="K47" s="337"/>
      <c r="L47" s="636"/>
    </row>
    <row r="48" spans="1:12" s="99" customFormat="1" ht="30" customHeight="1" thickBot="1">
      <c r="A48" s="898" t="s">
        <v>226</v>
      </c>
      <c r="B48" s="899"/>
      <c r="C48" s="899"/>
      <c r="D48" s="900"/>
      <c r="E48" s="899"/>
      <c r="F48" s="899"/>
      <c r="G48" s="899"/>
      <c r="H48" s="899"/>
      <c r="I48" s="899"/>
      <c r="J48" s="899"/>
      <c r="K48" s="901"/>
      <c r="L48" s="396"/>
    </row>
    <row r="49" spans="1:12" s="188" customFormat="1" ht="47.25" customHeight="1" thickBot="1">
      <c r="A49" s="200" t="s">
        <v>175</v>
      </c>
      <c r="B49" s="201" t="s">
        <v>176</v>
      </c>
      <c r="C49" s="204" t="s">
        <v>464</v>
      </c>
      <c r="D49" s="519" t="s">
        <v>469</v>
      </c>
      <c r="E49" s="202"/>
      <c r="F49" s="203" t="s">
        <v>9</v>
      </c>
      <c r="G49" s="204" t="s">
        <v>466</v>
      </c>
      <c r="H49" s="202"/>
      <c r="I49" s="224" t="s">
        <v>329</v>
      </c>
      <c r="J49" s="224" t="s">
        <v>467</v>
      </c>
      <c r="K49" s="335" t="s">
        <v>468</v>
      </c>
      <c r="L49" s="518"/>
    </row>
    <row r="50" spans="1:12" s="232" customFormat="1" ht="21.75" customHeight="1">
      <c r="A50" s="889" t="s">
        <v>87</v>
      </c>
      <c r="B50" s="962">
        <v>8612.18</v>
      </c>
      <c r="C50" s="432">
        <v>160215</v>
      </c>
      <c r="D50" s="412">
        <v>10632871.57</v>
      </c>
      <c r="E50" s="433"/>
      <c r="F50" s="963">
        <f>B50*1.25</f>
        <v>10765.225</v>
      </c>
      <c r="G50" s="434">
        <f>(C50+D50)*1.05</f>
        <v>11332740.898500001</v>
      </c>
      <c r="H50" s="435"/>
      <c r="I50" s="953">
        <f>F50*1.2</f>
        <v>12918.27</v>
      </c>
      <c r="J50" s="413">
        <f>(C50*1.05)*1.2</f>
        <v>201870.9</v>
      </c>
      <c r="K50" s="77">
        <f>(D50*1.05)*1.4</f>
        <v>15630321.2079</v>
      </c>
      <c r="L50" s="253"/>
    </row>
    <row r="51" spans="1:12" s="232" customFormat="1" ht="24.75" customHeight="1">
      <c r="A51" s="890"/>
      <c r="B51" s="954"/>
      <c r="C51" s="607"/>
      <c r="D51" s="436">
        <v>5884248.27</v>
      </c>
      <c r="E51" s="437"/>
      <c r="F51" s="964"/>
      <c r="G51" s="438">
        <f>D51</f>
        <v>5884248.27</v>
      </c>
      <c r="H51" s="439"/>
      <c r="I51" s="945"/>
      <c r="J51" s="607"/>
      <c r="K51" s="440">
        <f>D51</f>
        <v>5884248.27</v>
      </c>
      <c r="L51" s="647"/>
    </row>
    <row r="52" spans="1:11" s="232" customFormat="1" ht="25.5" customHeight="1">
      <c r="A52" s="891"/>
      <c r="B52" s="955"/>
      <c r="C52" s="607"/>
      <c r="D52" s="441" t="s">
        <v>230</v>
      </c>
      <c r="E52" s="439"/>
      <c r="F52" s="965"/>
      <c r="G52" s="441" t="s">
        <v>230</v>
      </c>
      <c r="H52" s="439"/>
      <c r="I52" s="946"/>
      <c r="J52" s="607"/>
      <c r="K52" s="443" t="s">
        <v>230</v>
      </c>
    </row>
    <row r="53" spans="1:11" s="232" customFormat="1" ht="12.75">
      <c r="A53" s="889" t="s">
        <v>93</v>
      </c>
      <c r="B53" s="960">
        <v>0</v>
      </c>
      <c r="C53" s="436">
        <v>353117.85</v>
      </c>
      <c r="D53" s="421"/>
      <c r="E53" s="439"/>
      <c r="F53" s="956">
        <v>0</v>
      </c>
      <c r="G53" s="438">
        <v>353117.85</v>
      </c>
      <c r="H53" s="439"/>
      <c r="I53" s="947"/>
      <c r="J53" s="440">
        <v>353117.85</v>
      </c>
      <c r="K53" s="427"/>
    </row>
    <row r="54" spans="1:11" s="232" customFormat="1" ht="30" customHeight="1">
      <c r="A54" s="891"/>
      <c r="B54" s="961"/>
      <c r="C54" s="441" t="s">
        <v>230</v>
      </c>
      <c r="D54" s="442"/>
      <c r="E54" s="439"/>
      <c r="F54" s="957"/>
      <c r="G54" s="441" t="s">
        <v>230</v>
      </c>
      <c r="H54" s="439"/>
      <c r="I54" s="948"/>
      <c r="J54" s="443" t="s">
        <v>230</v>
      </c>
      <c r="K54" s="442"/>
    </row>
    <row r="55" spans="1:11" s="232" customFormat="1" ht="21" customHeight="1">
      <c r="A55" s="889" t="s">
        <v>94</v>
      </c>
      <c r="B55" s="960">
        <v>0</v>
      </c>
      <c r="C55" s="607"/>
      <c r="D55" s="436">
        <v>394889.84</v>
      </c>
      <c r="E55" s="439"/>
      <c r="F55" s="446">
        <v>0</v>
      </c>
      <c r="G55" s="436">
        <v>394889.84</v>
      </c>
      <c r="H55" s="439"/>
      <c r="I55" s="431"/>
      <c r="J55" s="607"/>
      <c r="K55" s="447">
        <v>394889.84</v>
      </c>
    </row>
    <row r="56" spans="1:11" s="232" customFormat="1" ht="20.25" customHeight="1">
      <c r="A56" s="891"/>
      <c r="B56" s="961"/>
      <c r="C56" s="607"/>
      <c r="D56" s="448" t="s">
        <v>230</v>
      </c>
      <c r="E56" s="445"/>
      <c r="F56" s="446">
        <v>0</v>
      </c>
      <c r="G56" s="448" t="s">
        <v>230</v>
      </c>
      <c r="H56" s="445"/>
      <c r="I56" s="431"/>
      <c r="J56" s="607"/>
      <c r="K56" s="449" t="s">
        <v>207</v>
      </c>
    </row>
    <row r="57" spans="1:12" s="236" customFormat="1" ht="12.75" customHeight="1" thickBot="1">
      <c r="A57" s="248"/>
      <c r="B57" s="255"/>
      <c r="C57" s="256"/>
      <c r="D57" s="256"/>
      <c r="E57" s="254"/>
      <c r="F57" s="257"/>
      <c r="G57" s="256"/>
      <c r="H57" s="254"/>
      <c r="I57" s="254"/>
      <c r="J57" s="256"/>
      <c r="K57" s="256"/>
      <c r="L57" s="257"/>
    </row>
    <row r="58" spans="1:12" s="168" customFormat="1" ht="24" customHeight="1">
      <c r="A58" s="338" t="s">
        <v>227</v>
      </c>
      <c r="B58" s="208">
        <f>SUM(B50:B56)</f>
        <v>8612.18</v>
      </c>
      <c r="C58" s="209"/>
      <c r="D58" s="208"/>
      <c r="E58" s="205"/>
      <c r="F58" s="211">
        <f>SUM(F50:F56)</f>
        <v>10765.225</v>
      </c>
      <c r="G58" s="212"/>
      <c r="H58" s="210"/>
      <c r="I58" s="287">
        <v>12918.27</v>
      </c>
      <c r="J58" s="326"/>
      <c r="K58" s="327"/>
      <c r="L58" s="336"/>
    </row>
    <row r="59" spans="1:12" s="168" customFormat="1" ht="23.25" customHeight="1">
      <c r="A59" s="339" t="s">
        <v>228</v>
      </c>
      <c r="B59" s="213"/>
      <c r="C59" s="214">
        <f>C50</f>
        <v>160215</v>
      </c>
      <c r="D59" s="412">
        <f>D50</f>
        <v>10632871.57</v>
      </c>
      <c r="E59" s="190"/>
      <c r="F59" s="216"/>
      <c r="G59" s="191">
        <f>G50</f>
        <v>11332740.898500001</v>
      </c>
      <c r="H59" s="215"/>
      <c r="I59" s="286"/>
      <c r="J59" s="413">
        <f>(C59*1.05)*1.2</f>
        <v>201870.9</v>
      </c>
      <c r="K59" s="77">
        <f>(D59*1.05)*1.4</f>
        <v>15630321.2079</v>
      </c>
      <c r="L59" s="336"/>
    </row>
    <row r="60" spans="1:12" s="168" customFormat="1" ht="24" customHeight="1">
      <c r="A60" s="567" t="s">
        <v>229</v>
      </c>
      <c r="B60" s="560"/>
      <c r="C60" s="572">
        <f>C53</f>
        <v>353117.85</v>
      </c>
      <c r="D60" s="571">
        <f>D51+D55</f>
        <v>6279138.109999999</v>
      </c>
      <c r="E60" s="190"/>
      <c r="F60" s="562"/>
      <c r="G60" s="572">
        <f>G51+G53+G55</f>
        <v>6632255.959999999</v>
      </c>
      <c r="H60" s="215"/>
      <c r="I60" s="560"/>
      <c r="J60" s="617">
        <f>J53</f>
        <v>353117.85</v>
      </c>
      <c r="K60" s="575">
        <f>K51+K55</f>
        <v>6279138.109999999</v>
      </c>
      <c r="L60" s="336"/>
    </row>
    <row r="61" spans="1:12" s="168" customFormat="1" ht="18.75" customHeight="1" thickBot="1">
      <c r="A61" s="187" t="s">
        <v>290</v>
      </c>
      <c r="B61" s="186">
        <f>SUM(B58:B60)</f>
        <v>8612.18</v>
      </c>
      <c r="C61" s="196">
        <f>SUM(C58:C60)</f>
        <v>513332.85</v>
      </c>
      <c r="D61" s="186">
        <f>SUM(D59:D60)</f>
        <v>16912009.68</v>
      </c>
      <c r="E61" s="206"/>
      <c r="F61" s="197">
        <f>SUM(F58:F60)</f>
        <v>10765.225</v>
      </c>
      <c r="G61" s="198">
        <f>SUM(G59:G60)</f>
        <v>17964996.8585</v>
      </c>
      <c r="H61" s="206"/>
      <c r="I61" s="288">
        <f>SUM(I58:I60)</f>
        <v>12918.27</v>
      </c>
      <c r="J61" s="323">
        <f>SUM(J59:J60)</f>
        <v>554988.75</v>
      </c>
      <c r="K61" s="324">
        <f>SUM(K59:K60)</f>
        <v>21909459.317900002</v>
      </c>
      <c r="L61" s="336"/>
    </row>
    <row r="62" spans="1:12" s="219" customFormat="1" ht="15" customHeight="1" thickBot="1">
      <c r="A62" s="180"/>
      <c r="B62" s="251"/>
      <c r="C62" s="251"/>
      <c r="D62" s="251"/>
      <c r="E62" s="252"/>
      <c r="F62" s="175"/>
      <c r="G62" s="175"/>
      <c r="H62" s="252"/>
      <c r="I62" s="252"/>
      <c r="J62" s="175"/>
      <c r="K62" s="175"/>
      <c r="L62" s="174"/>
    </row>
    <row r="63" spans="1:12" s="100" customFormat="1" ht="41.25" customHeight="1" thickBot="1">
      <c r="A63" s="916" t="s">
        <v>358</v>
      </c>
      <c r="B63" s="917"/>
      <c r="C63" s="917"/>
      <c r="D63" s="917"/>
      <c r="E63" s="917"/>
      <c r="F63" s="917"/>
      <c r="G63" s="917"/>
      <c r="H63" s="917"/>
      <c r="I63" s="917"/>
      <c r="J63" s="917"/>
      <c r="K63" s="918"/>
      <c r="L63" s="636"/>
    </row>
    <row r="64" spans="1:11" s="100" customFormat="1" ht="18.75" customHeight="1" thickBot="1">
      <c r="A64" s="337"/>
      <c r="B64" s="337"/>
      <c r="C64" s="337"/>
      <c r="D64" s="337"/>
      <c r="E64" s="337"/>
      <c r="F64" s="337"/>
      <c r="G64" s="337"/>
      <c r="H64" s="337"/>
      <c r="I64" s="337"/>
      <c r="J64" s="337"/>
      <c r="K64" s="337"/>
    </row>
    <row r="65" spans="1:11" s="99" customFormat="1" ht="28.5" customHeight="1" thickBot="1">
      <c r="A65" s="898" t="s">
        <v>86</v>
      </c>
      <c r="B65" s="899"/>
      <c r="C65" s="899"/>
      <c r="D65" s="899"/>
      <c r="E65" s="899"/>
      <c r="F65" s="899"/>
      <c r="G65" s="899"/>
      <c r="H65" s="899"/>
      <c r="I65" s="899"/>
      <c r="J65" s="899"/>
      <c r="K65" s="901"/>
    </row>
    <row r="66" spans="1:11" s="188" customFormat="1" ht="63.75" customHeight="1" thickBot="1">
      <c r="A66" s="200" t="s">
        <v>175</v>
      </c>
      <c r="B66" s="201" t="s">
        <v>176</v>
      </c>
      <c r="C66" s="332" t="s">
        <v>464</v>
      </c>
      <c r="D66" s="332" t="s">
        <v>469</v>
      </c>
      <c r="E66" s="202"/>
      <c r="F66" s="203" t="s">
        <v>9</v>
      </c>
      <c r="G66" s="332" t="s">
        <v>466</v>
      </c>
      <c r="H66" s="202"/>
      <c r="I66" s="224" t="s">
        <v>329</v>
      </c>
      <c r="J66" s="224" t="s">
        <v>467</v>
      </c>
      <c r="K66" s="335" t="s">
        <v>468</v>
      </c>
    </row>
    <row r="67" spans="1:13" s="232" customFormat="1" ht="15.75" customHeight="1">
      <c r="A67" s="889" t="s">
        <v>88</v>
      </c>
      <c r="B67" s="935">
        <v>12030.87</v>
      </c>
      <c r="C67" s="414"/>
      <c r="D67" s="414">
        <v>10968656</v>
      </c>
      <c r="E67" s="261"/>
      <c r="F67" s="935">
        <f>B67*1.25</f>
        <v>15038.587500000001</v>
      </c>
      <c r="G67" s="414">
        <f>(C67+D67)*1.05</f>
        <v>11517088.8</v>
      </c>
      <c r="H67" s="261"/>
      <c r="I67" s="958">
        <f>F67*1.2</f>
        <v>18046.305</v>
      </c>
      <c r="J67" s="430">
        <f>(C67*1.05)*1.2</f>
        <v>0</v>
      </c>
      <c r="K67" s="430">
        <f>(D67*1.05)*1.4</f>
        <v>16123924.32</v>
      </c>
      <c r="L67" s="253"/>
      <c r="M67" s="253"/>
    </row>
    <row r="68" spans="1:12" s="232" customFormat="1" ht="15.75" customHeight="1">
      <c r="A68" s="890"/>
      <c r="B68" s="936"/>
      <c r="C68" s="414"/>
      <c r="D68" s="414"/>
      <c r="E68" s="237"/>
      <c r="F68" s="936"/>
      <c r="G68" s="414"/>
      <c r="H68" s="237"/>
      <c r="I68" s="959"/>
      <c r="J68" s="430"/>
      <c r="K68" s="430"/>
      <c r="L68" s="253"/>
    </row>
    <row r="69" spans="1:12" s="232" customFormat="1" ht="27.75" customHeight="1">
      <c r="A69" s="933"/>
      <c r="B69" s="415">
        <v>165266.21</v>
      </c>
      <c r="C69" s="607"/>
      <c r="D69" s="416">
        <v>1893621.16</v>
      </c>
      <c r="E69" s="237"/>
      <c r="F69" s="424">
        <v>165266.21</v>
      </c>
      <c r="G69" s="416">
        <f>D69</f>
        <v>1893621.16</v>
      </c>
      <c r="H69" s="237"/>
      <c r="I69" s="613">
        <v>165266.21</v>
      </c>
      <c r="J69" s="607"/>
      <c r="K69" s="416">
        <f>D69</f>
        <v>1893621.16</v>
      </c>
      <c r="L69" s="253"/>
    </row>
    <row r="70" spans="1:11" s="232" customFormat="1" ht="31.5" customHeight="1">
      <c r="A70" s="934"/>
      <c r="B70" s="417" t="s">
        <v>206</v>
      </c>
      <c r="C70" s="607"/>
      <c r="D70" s="418" t="s">
        <v>230</v>
      </c>
      <c r="E70" s="237"/>
      <c r="F70" s="425" t="s">
        <v>206</v>
      </c>
      <c r="G70" s="418" t="s">
        <v>230</v>
      </c>
      <c r="H70" s="237"/>
      <c r="I70" s="614" t="s">
        <v>206</v>
      </c>
      <c r="J70" s="607"/>
      <c r="K70" s="418" t="s">
        <v>230</v>
      </c>
    </row>
    <row r="71" spans="1:12" s="232" customFormat="1" ht="22.5" customHeight="1">
      <c r="A71" s="889" t="s">
        <v>279</v>
      </c>
      <c r="B71" s="892"/>
      <c r="C71" s="419">
        <v>0</v>
      </c>
      <c r="D71" s="467"/>
      <c r="E71" s="237"/>
      <c r="F71" s="426">
        <f>B71*1.25</f>
        <v>0</v>
      </c>
      <c r="G71" s="420">
        <f>D71*1.05</f>
        <v>0</v>
      </c>
      <c r="H71" s="237"/>
      <c r="I71" s="429">
        <f>F71*1.2</f>
        <v>0</v>
      </c>
      <c r="J71" s="462"/>
      <c r="K71" s="422">
        <f>(D71*1.05)*1.4</f>
        <v>0</v>
      </c>
      <c r="L71" s="253"/>
    </row>
    <row r="72" spans="1:12" s="232" customFormat="1" ht="22.5" customHeight="1">
      <c r="A72" s="890"/>
      <c r="B72" s="893"/>
      <c r="C72" s="419"/>
      <c r="D72" s="522">
        <v>816119.93</v>
      </c>
      <c r="E72" s="520"/>
      <c r="F72" s="524"/>
      <c r="G72" s="522">
        <f>D72</f>
        <v>816119.93</v>
      </c>
      <c r="H72" s="520"/>
      <c r="I72" s="429"/>
      <c r="J72" s="474"/>
      <c r="K72" s="515">
        <f>D72</f>
        <v>816119.93</v>
      </c>
      <c r="L72" s="253">
        <f>222732.71+592516.14</f>
        <v>815248.85</v>
      </c>
    </row>
    <row r="73" spans="1:11" s="232" customFormat="1" ht="22.5" customHeight="1">
      <c r="A73" s="891"/>
      <c r="B73" s="894"/>
      <c r="C73" s="419"/>
      <c r="D73" s="523" t="s">
        <v>230</v>
      </c>
      <c r="E73" s="520"/>
      <c r="F73" s="524"/>
      <c r="G73" s="523" t="s">
        <v>230</v>
      </c>
      <c r="H73" s="520"/>
      <c r="I73" s="429"/>
      <c r="J73" s="474"/>
      <c r="K73" s="526" t="s">
        <v>230</v>
      </c>
    </row>
    <row r="74" spans="1:12" s="232" customFormat="1" ht="19.5" customHeight="1">
      <c r="A74" s="889" t="s">
        <v>89</v>
      </c>
      <c r="B74" s="420">
        <v>0</v>
      </c>
      <c r="C74" s="421"/>
      <c r="D74" s="521"/>
      <c r="E74" s="233"/>
      <c r="F74" s="77"/>
      <c r="G74" s="525">
        <f>D74*1.05</f>
        <v>0</v>
      </c>
      <c r="H74" s="233"/>
      <c r="I74" s="615"/>
      <c r="J74" s="427"/>
      <c r="K74" s="525">
        <f>(D74*1.05)*1.4</f>
        <v>0</v>
      </c>
      <c r="L74" s="232">
        <f>221861.63+592516.14</f>
        <v>814377.77</v>
      </c>
    </row>
    <row r="75" spans="1:12" s="232" customFormat="1" ht="16.5" customHeight="1">
      <c r="A75" s="890"/>
      <c r="B75" s="479"/>
      <c r="C75" s="607"/>
      <c r="D75" s="416">
        <v>719308.79</v>
      </c>
      <c r="E75" s="237"/>
      <c r="F75" s="479"/>
      <c r="G75" s="416">
        <f>D75</f>
        <v>719308.79</v>
      </c>
      <c r="H75" s="237"/>
      <c r="I75" s="481"/>
      <c r="J75" s="607"/>
      <c r="K75" s="416">
        <f>D75</f>
        <v>719308.79</v>
      </c>
      <c r="L75" s="253"/>
    </row>
    <row r="76" spans="1:12" s="232" customFormat="1" ht="18" customHeight="1">
      <c r="A76" s="891"/>
      <c r="B76" s="479"/>
      <c r="C76" s="607"/>
      <c r="D76" s="418" t="s">
        <v>230</v>
      </c>
      <c r="E76" s="237"/>
      <c r="F76" s="480"/>
      <c r="G76" s="418" t="s">
        <v>230</v>
      </c>
      <c r="H76" s="237"/>
      <c r="I76" s="482"/>
      <c r="J76" s="607"/>
      <c r="K76" s="418" t="s">
        <v>230</v>
      </c>
      <c r="L76" s="253"/>
    </row>
    <row r="77" spans="1:11" s="232" customFormat="1" ht="15.75" customHeight="1">
      <c r="A77" s="889" t="s">
        <v>90</v>
      </c>
      <c r="B77" s="422">
        <v>0</v>
      </c>
      <c r="C77" s="607"/>
      <c r="D77" s="141">
        <v>1345227</v>
      </c>
      <c r="E77" s="231"/>
      <c r="F77" s="77"/>
      <c r="G77" s="428">
        <f>D77*1.05</f>
        <v>1412488.35</v>
      </c>
      <c r="H77" s="231"/>
      <c r="I77" s="616"/>
      <c r="J77" s="77"/>
      <c r="K77" s="77">
        <f>(D77*1.05)*1.4</f>
        <v>1977483.69</v>
      </c>
    </row>
    <row r="78" spans="1:11" s="232" customFormat="1" ht="15.75" customHeight="1">
      <c r="A78" s="891"/>
      <c r="B78" s="422"/>
      <c r="C78" s="612" t="s">
        <v>230</v>
      </c>
      <c r="D78" s="418">
        <v>2776.95</v>
      </c>
      <c r="E78" s="231"/>
      <c r="F78" s="77"/>
      <c r="G78" s="505">
        <v>2776.95</v>
      </c>
      <c r="H78" s="231"/>
      <c r="I78" s="303"/>
      <c r="J78" s="612" t="s">
        <v>230</v>
      </c>
      <c r="K78" s="526">
        <v>2776.95</v>
      </c>
    </row>
    <row r="79" spans="1:11" s="232" customFormat="1" ht="15.75" customHeight="1">
      <c r="A79" s="889" t="s">
        <v>91</v>
      </c>
      <c r="B79" s="474"/>
      <c r="C79" s="510">
        <v>1015898.75</v>
      </c>
      <c r="D79" s="547"/>
      <c r="E79" s="231"/>
      <c r="F79" s="77"/>
      <c r="G79" s="548">
        <v>1015898.75</v>
      </c>
      <c r="H79" s="231"/>
      <c r="I79" s="616"/>
      <c r="J79" s="510">
        <v>1015898.75</v>
      </c>
      <c r="K79" s="466"/>
    </row>
    <row r="80" spans="1:11" s="232" customFormat="1" ht="15.75" customHeight="1">
      <c r="A80" s="891"/>
      <c r="B80" s="419">
        <v>0</v>
      </c>
      <c r="C80" s="511" t="s">
        <v>230</v>
      </c>
      <c r="D80" s="547"/>
      <c r="E80" s="231"/>
      <c r="F80" s="92"/>
      <c r="G80" s="548" t="s">
        <v>230</v>
      </c>
      <c r="H80" s="231"/>
      <c r="I80" s="616"/>
      <c r="J80" s="511" t="s">
        <v>230</v>
      </c>
      <c r="K80" s="466"/>
    </row>
    <row r="81" spans="1:13" s="166" customFormat="1" ht="15.75" customHeight="1">
      <c r="A81" s="889" t="s">
        <v>95</v>
      </c>
      <c r="B81" s="895">
        <v>0</v>
      </c>
      <c r="C81" s="606"/>
      <c r="D81" s="141"/>
      <c r="E81" s="262"/>
      <c r="F81" s="77"/>
      <c r="G81" s="87">
        <f>C81*1.05</f>
        <v>0</v>
      </c>
      <c r="H81" s="262"/>
      <c r="I81" s="303"/>
      <c r="J81" s="462">
        <f>(C81*1.05)*1.2</f>
        <v>0</v>
      </c>
      <c r="K81" s="77"/>
      <c r="L81" s="134"/>
      <c r="M81" s="134">
        <f>D89-11531023.62</f>
        <v>4214686.210000001</v>
      </c>
    </row>
    <row r="82" spans="1:12" s="166" customFormat="1" ht="15.75" customHeight="1">
      <c r="A82" s="890"/>
      <c r="B82" s="896"/>
      <c r="C82" s="510">
        <v>348086.68</v>
      </c>
      <c r="D82" s="141"/>
      <c r="E82" s="259"/>
      <c r="F82" s="77"/>
      <c r="G82" s="510">
        <f>C82</f>
        <v>348086.68</v>
      </c>
      <c r="H82" s="259"/>
      <c r="I82" s="303"/>
      <c r="J82" s="510">
        <f>C82</f>
        <v>348086.68</v>
      </c>
      <c r="K82" s="77"/>
      <c r="L82" s="134"/>
    </row>
    <row r="83" spans="1:12" s="166" customFormat="1" ht="15.75" customHeight="1">
      <c r="A83" s="891"/>
      <c r="B83" s="897"/>
      <c r="C83" s="511" t="s">
        <v>397</v>
      </c>
      <c r="D83" s="141"/>
      <c r="E83" s="259"/>
      <c r="F83" s="77"/>
      <c r="G83" s="511" t="s">
        <v>397</v>
      </c>
      <c r="H83" s="259"/>
      <c r="I83" s="303"/>
      <c r="J83" s="511" t="s">
        <v>397</v>
      </c>
      <c r="K83" s="77"/>
      <c r="L83" s="134"/>
    </row>
    <row r="84" spans="1:11" s="166" customFormat="1" ht="12" customHeight="1" thickBot="1">
      <c r="A84" s="234"/>
      <c r="B84" s="134"/>
      <c r="C84" s="258"/>
      <c r="D84" s="258"/>
      <c r="E84" s="259"/>
      <c r="F84" s="134"/>
      <c r="G84" s="260"/>
      <c r="H84" s="259"/>
      <c r="I84" s="259"/>
      <c r="J84" s="134"/>
      <c r="K84" s="134"/>
    </row>
    <row r="85" spans="1:13" s="168" customFormat="1" ht="24" customHeight="1">
      <c r="A85" s="338" t="s">
        <v>227</v>
      </c>
      <c r="B85" s="208">
        <f>B67</f>
        <v>12030.87</v>
      </c>
      <c r="C85" s="580"/>
      <c r="D85" s="208"/>
      <c r="E85" s="210"/>
      <c r="F85" s="211">
        <f>B85*1.25</f>
        <v>15038.587500000001</v>
      </c>
      <c r="G85" s="212"/>
      <c r="H85" s="210"/>
      <c r="I85" s="287">
        <f>I67+I71</f>
        <v>18046.305</v>
      </c>
      <c r="J85" s="326"/>
      <c r="K85" s="327"/>
      <c r="L85" s="336"/>
      <c r="M85" s="336"/>
    </row>
    <row r="86" spans="1:13" s="193" customFormat="1" ht="28.5" customHeight="1">
      <c r="A86" s="304" t="s">
        <v>50</v>
      </c>
      <c r="B86" s="220">
        <v>165266.21</v>
      </c>
      <c r="C86" s="581"/>
      <c r="D86" s="220"/>
      <c r="E86" s="207"/>
      <c r="F86" s="221">
        <v>165266.21</v>
      </c>
      <c r="G86" s="230"/>
      <c r="H86" s="207"/>
      <c r="I86" s="220">
        <v>165266.21</v>
      </c>
      <c r="J86" s="325"/>
      <c r="K86" s="328"/>
      <c r="L86" s="488"/>
      <c r="M86" s="199"/>
    </row>
    <row r="87" spans="1:13" s="168" customFormat="1" ht="18.75" customHeight="1">
      <c r="A87" s="339" t="s">
        <v>228</v>
      </c>
      <c r="B87" s="213"/>
      <c r="C87" s="483"/>
      <c r="D87" s="213">
        <f>D67+D71+D74+D77</f>
        <v>12313883</v>
      </c>
      <c r="E87" s="215"/>
      <c r="F87" s="216"/>
      <c r="G87" s="191">
        <f>G67+G77</f>
        <v>12929577.15</v>
      </c>
      <c r="H87" s="215"/>
      <c r="I87" s="286"/>
      <c r="J87" s="87"/>
      <c r="K87" s="329">
        <f>K67+K71+K74+K77</f>
        <v>18101408.01</v>
      </c>
      <c r="M87" s="336"/>
    </row>
    <row r="88" spans="1:13" s="569" customFormat="1" ht="23.25" customHeight="1">
      <c r="A88" s="567" t="s">
        <v>229</v>
      </c>
      <c r="B88" s="560"/>
      <c r="C88" s="572">
        <f>C79+C82</f>
        <v>1363985.43</v>
      </c>
      <c r="D88" s="571">
        <f>D69+D72+D75+D78</f>
        <v>3431826.83</v>
      </c>
      <c r="E88" s="215"/>
      <c r="F88" s="562"/>
      <c r="G88" s="563">
        <f>G69+G72+G75+G78+G79+G82</f>
        <v>4795812.26</v>
      </c>
      <c r="H88" s="215"/>
      <c r="I88" s="560"/>
      <c r="J88" s="564">
        <f>J79+J82</f>
        <v>1363985.43</v>
      </c>
      <c r="K88" s="565">
        <f>K69+K72+K75+K78</f>
        <v>3431826.83</v>
      </c>
      <c r="L88" s="568"/>
      <c r="M88" s="568"/>
    </row>
    <row r="89" spans="1:13" s="168" customFormat="1" ht="20.25" customHeight="1" thickBot="1">
      <c r="A89" s="187" t="s">
        <v>290</v>
      </c>
      <c r="B89" s="186">
        <f>SUM(B85:B88)</f>
        <v>177297.08</v>
      </c>
      <c r="C89" s="196">
        <f>SUM(C85:C88)</f>
        <v>1363985.43</v>
      </c>
      <c r="D89" s="186">
        <f>SUM(D87:D88)</f>
        <v>15745709.83</v>
      </c>
      <c r="E89" s="206"/>
      <c r="F89" s="197">
        <f>SUM(F85:F88)</f>
        <v>180304.7975</v>
      </c>
      <c r="G89" s="623">
        <f>SUM(G87:G88)</f>
        <v>17725389.41</v>
      </c>
      <c r="H89" s="206"/>
      <c r="I89" s="288">
        <f>SUM(I85:I88)</f>
        <v>183312.51499999998</v>
      </c>
      <c r="J89" s="323">
        <f>SUM(J85:J88)</f>
        <v>1363985.43</v>
      </c>
      <c r="K89" s="324">
        <f>SUM(K87:K88)</f>
        <v>21533234.840000004</v>
      </c>
      <c r="L89" s="336"/>
      <c r="M89" s="266"/>
    </row>
    <row r="90" spans="1:12" s="58" customFormat="1" ht="14.25" customHeight="1" thickBot="1">
      <c r="A90" s="180"/>
      <c r="B90" s="173"/>
      <c r="C90" s="173"/>
      <c r="D90" s="173"/>
      <c r="E90" s="173"/>
      <c r="F90" s="174"/>
      <c r="G90" s="175"/>
      <c r="H90" s="173"/>
      <c r="I90" s="173"/>
      <c r="J90" s="174"/>
      <c r="K90" s="174"/>
      <c r="L90" s="39"/>
    </row>
    <row r="91" spans="1:12" s="58" customFormat="1" ht="19.5" customHeight="1" thickBot="1">
      <c r="A91" s="937" t="s">
        <v>359</v>
      </c>
      <c r="B91" s="938"/>
      <c r="C91" s="938"/>
      <c r="D91" s="938"/>
      <c r="E91" s="938"/>
      <c r="F91" s="938"/>
      <c r="G91" s="938"/>
      <c r="H91" s="938"/>
      <c r="I91" s="938"/>
      <c r="J91" s="938"/>
      <c r="K91" s="939"/>
      <c r="L91" s="39"/>
    </row>
    <row r="92" spans="1:12" s="58" customFormat="1" ht="12" customHeight="1" thickBot="1">
      <c r="A92" s="180"/>
      <c r="B92" s="173"/>
      <c r="C92" s="173"/>
      <c r="D92" s="173"/>
      <c r="E92" s="173"/>
      <c r="F92" s="174"/>
      <c r="G92" s="175"/>
      <c r="H92" s="173"/>
      <c r="I92" s="173"/>
      <c r="J92" s="174"/>
      <c r="K92" s="174"/>
      <c r="L92" s="39"/>
    </row>
    <row r="93" spans="1:12" s="238" customFormat="1" ht="76.5" customHeight="1">
      <c r="A93" s="290"/>
      <c r="B93" s="291" t="s">
        <v>176</v>
      </c>
      <c r="C93" s="294" t="s">
        <v>470</v>
      </c>
      <c r="D93" s="333" t="s">
        <v>465</v>
      </c>
      <c r="E93" s="301"/>
      <c r="F93" s="296" t="s">
        <v>9</v>
      </c>
      <c r="G93" s="294" t="s">
        <v>466</v>
      </c>
      <c r="H93" s="301"/>
      <c r="I93" s="314" t="s">
        <v>330</v>
      </c>
      <c r="J93" s="317" t="s">
        <v>471</v>
      </c>
      <c r="K93" s="594" t="s">
        <v>472</v>
      </c>
      <c r="L93" s="398"/>
    </row>
    <row r="94" spans="1:13" s="219" customFormat="1" ht="33.75" customHeight="1">
      <c r="A94" s="289" t="s">
        <v>227</v>
      </c>
      <c r="B94" s="263">
        <f>B18+B41+B58+B85</f>
        <v>21048.120000000003</v>
      </c>
      <c r="C94" s="295"/>
      <c r="D94" s="244"/>
      <c r="E94" s="298"/>
      <c r="F94" s="297">
        <f>F18+F41+F61+F85</f>
        <v>26310.15</v>
      </c>
      <c r="G94" s="300"/>
      <c r="H94" s="298"/>
      <c r="I94" s="315">
        <f>I18+I41+I58+I85</f>
        <v>31572.18</v>
      </c>
      <c r="J94" s="316"/>
      <c r="K94" s="292"/>
      <c r="L94" s="174"/>
      <c r="M94" s="239"/>
    </row>
    <row r="95" spans="1:12" s="242" customFormat="1" ht="33.75" customHeight="1">
      <c r="A95" s="240" t="s">
        <v>49</v>
      </c>
      <c r="B95" s="650">
        <f>B42+B86</f>
        <v>273266.20999999996</v>
      </c>
      <c r="C95" s="194"/>
      <c r="D95" s="241"/>
      <c r="E95" s="299"/>
      <c r="F95" s="192">
        <f>F42+F86</f>
        <v>273266.20999999996</v>
      </c>
      <c r="G95" s="195"/>
      <c r="H95" s="299"/>
      <c r="I95" s="313">
        <v>273266.21</v>
      </c>
      <c r="J95" s="320"/>
      <c r="K95" s="321"/>
      <c r="L95" s="398">
        <f>D97-60253660.62</f>
        <v>842900.6300000027</v>
      </c>
    </row>
    <row r="96" spans="1:13" s="219" customFormat="1" ht="33.75" customHeight="1">
      <c r="A96" s="243" t="s">
        <v>228</v>
      </c>
      <c r="B96" s="172"/>
      <c r="C96" s="483">
        <f>C16+C43+C59+C87</f>
        <v>866081.37</v>
      </c>
      <c r="D96" s="172">
        <v>94728097.74</v>
      </c>
      <c r="E96" s="298"/>
      <c r="F96" s="189"/>
      <c r="G96" s="624">
        <f>G16+G43+G59+G87</f>
        <v>100373888.0655</v>
      </c>
      <c r="H96" s="298"/>
      <c r="I96" s="312"/>
      <c r="J96" s="319">
        <f>J16+J43+J59+J87</f>
        <v>1091262.5262</v>
      </c>
      <c r="K96" s="322">
        <f>K16+K43+K59+K87</f>
        <v>139250303.6778</v>
      </c>
      <c r="L96" s="174"/>
      <c r="M96" s="239"/>
    </row>
    <row r="97" spans="1:13" s="219" customFormat="1" ht="35.25" customHeight="1">
      <c r="A97" s="570" t="s">
        <v>229</v>
      </c>
      <c r="B97" s="571"/>
      <c r="C97" s="572">
        <f>C17+C44+C60+C88</f>
        <v>1717103.2799999998</v>
      </c>
      <c r="D97" s="571">
        <f>D17+D44+D60+D88</f>
        <v>61096561.25</v>
      </c>
      <c r="E97" s="298"/>
      <c r="F97" s="573"/>
      <c r="G97" s="572">
        <f>G17+G44+G60+G88</f>
        <v>62813664.53</v>
      </c>
      <c r="H97" s="298"/>
      <c r="I97" s="574"/>
      <c r="J97" s="572">
        <f>J17+J44+J60+J88</f>
        <v>1717103.2799999998</v>
      </c>
      <c r="K97" s="575">
        <f>K17+K44+K60+K88</f>
        <v>61096561.25</v>
      </c>
      <c r="L97" s="174">
        <f>D97+42134.4</f>
        <v>61138695.65</v>
      </c>
      <c r="M97" s="239"/>
    </row>
    <row r="98" spans="1:16" s="219" customFormat="1" ht="31.5" customHeight="1" thickBot="1">
      <c r="A98" s="217" t="s">
        <v>290</v>
      </c>
      <c r="B98" s="186">
        <f>B94+B95</f>
        <v>294314.32999999996</v>
      </c>
      <c r="C98" s="196">
        <f>SUM(C96:C97)</f>
        <v>2583184.65</v>
      </c>
      <c r="D98" s="186">
        <f>SUM(D94:D97)</f>
        <v>155824658.99</v>
      </c>
      <c r="E98" s="218"/>
      <c r="F98" s="197">
        <f>F94+F95</f>
        <v>299576.36</v>
      </c>
      <c r="G98" s="331"/>
      <c r="H98" s="218"/>
      <c r="I98" s="311">
        <f>I94+I95</f>
        <v>304838.39</v>
      </c>
      <c r="J98" s="318">
        <f>SUM(J96:J97)</f>
        <v>2808365.8061999995</v>
      </c>
      <c r="K98" s="293">
        <f>SUM(K94:K97)</f>
        <v>200346864.9278</v>
      </c>
      <c r="L98" s="174"/>
      <c r="M98" s="239"/>
      <c r="P98" s="967">
        <f>D97-14929.72</f>
        <v>61081631.53</v>
      </c>
    </row>
    <row r="99" spans="1:16" s="245" customFormat="1" ht="19.5" customHeight="1" thickBot="1">
      <c r="A99" s="181"/>
      <c r="B99" s="176"/>
      <c r="C99" s="176"/>
      <c r="D99" s="176"/>
      <c r="E99" s="176"/>
      <c r="F99" s="176"/>
      <c r="G99" s="177"/>
      <c r="H99" s="176"/>
      <c r="I99" s="176"/>
      <c r="J99" s="176"/>
      <c r="K99" s="176"/>
      <c r="L99" s="176"/>
      <c r="M99" s="637"/>
      <c r="P99" s="649">
        <f>D97+C97</f>
        <v>62813664.53</v>
      </c>
    </row>
    <row r="100" spans="1:13" s="245" customFormat="1" ht="25.5" customHeight="1" thickBot="1">
      <c r="A100" s="940" t="s">
        <v>8</v>
      </c>
      <c r="B100" s="941"/>
      <c r="C100" s="941"/>
      <c r="D100" s="941"/>
      <c r="E100" s="941"/>
      <c r="F100" s="941"/>
      <c r="G100" s="941"/>
      <c r="H100" s="942"/>
      <c r="I100" s="173"/>
      <c r="J100" s="173"/>
      <c r="K100" s="173"/>
      <c r="L100" s="176"/>
      <c r="M100" s="637"/>
    </row>
    <row r="101" spans="1:12" s="245" customFormat="1" ht="20.25" customHeight="1" thickBot="1">
      <c r="A101" s="302"/>
      <c r="B101" s="273"/>
      <c r="C101" s="273"/>
      <c r="D101" s="273"/>
      <c r="E101" s="273"/>
      <c r="F101" s="273"/>
      <c r="G101" s="273"/>
      <c r="H101" s="273"/>
      <c r="I101" s="173"/>
      <c r="J101" s="173"/>
      <c r="K101" s="173"/>
      <c r="L101" s="176"/>
    </row>
    <row r="102" spans="1:12" s="245" customFormat="1" ht="19.5" customHeight="1" thickBot="1">
      <c r="A102" s="924" t="s">
        <v>264</v>
      </c>
      <c r="B102" s="925"/>
      <c r="C102" s="925"/>
      <c r="D102" s="925"/>
      <c r="E102" s="925"/>
      <c r="F102" s="925"/>
      <c r="G102" s="925"/>
      <c r="H102" s="926"/>
      <c r="I102" s="273"/>
      <c r="J102" s="273"/>
      <c r="K102" s="273"/>
      <c r="L102" s="176"/>
    </row>
    <row r="103" spans="1:13" s="245" customFormat="1" ht="33.75" customHeight="1" thickBot="1">
      <c r="A103" s="943" t="s">
        <v>491</v>
      </c>
      <c r="B103" s="944"/>
      <c r="C103" s="944"/>
      <c r="D103" s="944"/>
      <c r="E103" s="944"/>
      <c r="F103" s="944"/>
      <c r="G103" s="914">
        <f>C96+D96</f>
        <v>95594179.11</v>
      </c>
      <c r="H103" s="915"/>
      <c r="I103" s="949" t="s">
        <v>547</v>
      </c>
      <c r="J103" s="175"/>
      <c r="K103" s="595"/>
      <c r="L103" s="176">
        <f>J104+8410.49</f>
        <v>158416254.13</v>
      </c>
      <c r="M103" s="176">
        <f>J104-14929.72</f>
        <v>158392913.92</v>
      </c>
    </row>
    <row r="104" spans="1:13" s="245" customFormat="1" ht="24.75" customHeight="1" thickBot="1">
      <c r="A104" s="904" t="s">
        <v>397</v>
      </c>
      <c r="B104" s="904"/>
      <c r="C104" s="904"/>
      <c r="D104" s="904"/>
      <c r="E104" s="904"/>
      <c r="F104" s="931"/>
      <c r="G104" s="927">
        <f>C97+D97</f>
        <v>62813664.53</v>
      </c>
      <c r="H104" s="928"/>
      <c r="I104" s="950"/>
      <c r="J104" s="622">
        <f>G103+G104</f>
        <v>158407843.64</v>
      </c>
      <c r="K104" s="596"/>
      <c r="L104" s="176">
        <f>K105+8410.49</f>
        <v>158710568.46</v>
      </c>
      <c r="M104" s="176">
        <f>K105-14929.72</f>
        <v>158687228.25</v>
      </c>
    </row>
    <row r="105" spans="1:13" s="245" customFormat="1" ht="37.5" customHeight="1" thickBot="1">
      <c r="A105" s="922" t="s">
        <v>396</v>
      </c>
      <c r="B105" s="922"/>
      <c r="C105" s="922"/>
      <c r="D105" s="922"/>
      <c r="E105" s="922"/>
      <c r="F105" s="923"/>
      <c r="G105" s="929">
        <f>B98</f>
        <v>294314.32999999996</v>
      </c>
      <c r="H105" s="930"/>
      <c r="I105" s="912" t="s">
        <v>548</v>
      </c>
      <c r="J105" s="913"/>
      <c r="K105" s="316">
        <f>G103+G104+G105</f>
        <v>158702157.97</v>
      </c>
      <c r="L105" s="176"/>
      <c r="M105" s="176">
        <f>G109-14929.72</f>
        <v>63072001.02</v>
      </c>
    </row>
    <row r="106" spans="1:13" s="245" customFormat="1" ht="24.75" customHeight="1" thickBot="1">
      <c r="A106" s="271"/>
      <c r="B106" s="271"/>
      <c r="C106" s="271"/>
      <c r="D106" s="271"/>
      <c r="E106" s="271"/>
      <c r="F106" s="271"/>
      <c r="G106" s="309"/>
      <c r="H106" s="309"/>
      <c r="I106" s="184"/>
      <c r="J106" s="175"/>
      <c r="K106" s="175"/>
      <c r="L106" s="176"/>
      <c r="M106" s="176"/>
    </row>
    <row r="107" spans="1:13" s="245" customFormat="1" ht="19.5" customHeight="1" thickBot="1">
      <c r="A107" s="905" t="s">
        <v>473</v>
      </c>
      <c r="B107" s="906"/>
      <c r="C107" s="906"/>
      <c r="D107" s="906"/>
      <c r="E107" s="906"/>
      <c r="F107" s="906"/>
      <c r="G107" s="888"/>
      <c r="H107" s="907"/>
      <c r="I107" s="273"/>
      <c r="J107" s="173"/>
      <c r="K107" s="173"/>
      <c r="L107" s="176"/>
      <c r="M107" s="176"/>
    </row>
    <row r="108" spans="1:13" s="245" customFormat="1" ht="28.5" customHeight="1" thickBot="1">
      <c r="A108" s="904" t="s">
        <v>493</v>
      </c>
      <c r="B108" s="904"/>
      <c r="C108" s="904"/>
      <c r="D108" s="904"/>
      <c r="E108" s="904"/>
      <c r="F108" s="904"/>
      <c r="G108" s="885">
        <f>F94+G96</f>
        <v>100400198.21550001</v>
      </c>
      <c r="H108" s="886"/>
      <c r="I108" s="486" t="s">
        <v>326</v>
      </c>
      <c r="J108" s="175"/>
      <c r="K108" s="175"/>
      <c r="L108" s="176"/>
      <c r="M108" s="176"/>
    </row>
    <row r="109" spans="1:13" s="245" customFormat="1" ht="24.75" customHeight="1" thickBot="1">
      <c r="A109" s="904" t="s">
        <v>394</v>
      </c>
      <c r="B109" s="904"/>
      <c r="C109" s="904"/>
      <c r="D109" s="904"/>
      <c r="E109" s="904"/>
      <c r="F109" s="904"/>
      <c r="G109" s="920">
        <f>F95+G97</f>
        <v>63086930.74</v>
      </c>
      <c r="H109" s="921"/>
      <c r="I109" s="618">
        <f>G108+G109</f>
        <v>163487128.9555</v>
      </c>
      <c r="J109" s="175"/>
      <c r="K109" s="175"/>
      <c r="L109" s="176">
        <f>G109+8410.49</f>
        <v>63095341.230000004</v>
      </c>
      <c r="M109" s="176"/>
    </row>
    <row r="110" spans="1:13" s="245" customFormat="1" ht="22.5" customHeight="1" thickBot="1">
      <c r="A110" s="270"/>
      <c r="B110" s="271"/>
      <c r="C110" s="271"/>
      <c r="D110" s="271"/>
      <c r="E110" s="271"/>
      <c r="F110" s="271"/>
      <c r="G110" s="184"/>
      <c r="H110" s="184"/>
      <c r="I110" s="184"/>
      <c r="J110" s="175"/>
      <c r="K110" s="175"/>
      <c r="L110" s="176"/>
      <c r="M110" s="176">
        <f>I109-14929.72</f>
        <v>163472199.2355</v>
      </c>
    </row>
    <row r="111" spans="1:12" s="245" customFormat="1" ht="22.5" customHeight="1" thickBot="1">
      <c r="A111" s="887" t="s">
        <v>474</v>
      </c>
      <c r="B111" s="888"/>
      <c r="C111" s="888"/>
      <c r="D111" s="888"/>
      <c r="E111" s="888"/>
      <c r="F111" s="888"/>
      <c r="G111" s="310"/>
      <c r="H111" s="308"/>
      <c r="I111" s="305"/>
      <c r="J111" s="273"/>
      <c r="K111" s="173"/>
      <c r="L111" s="649"/>
    </row>
    <row r="112" spans="1:13" s="245" customFormat="1" ht="42.75" customHeight="1">
      <c r="A112" s="882" t="s">
        <v>494</v>
      </c>
      <c r="B112" s="883"/>
      <c r="C112" s="883"/>
      <c r="D112" s="883"/>
      <c r="E112" s="883"/>
      <c r="F112" s="883"/>
      <c r="G112" s="883"/>
      <c r="H112" s="884"/>
      <c r="I112" s="620">
        <f>I94+J96+K96</f>
        <v>140373138.384</v>
      </c>
      <c r="J112" s="485" t="s">
        <v>475</v>
      </c>
      <c r="K112" s="175"/>
      <c r="L112" s="176"/>
      <c r="M112" s="176"/>
    </row>
    <row r="113" spans="1:13" s="245" customFormat="1" ht="27.75" customHeight="1" thickBot="1">
      <c r="A113" s="908" t="s">
        <v>393</v>
      </c>
      <c r="B113" s="909"/>
      <c r="C113" s="909"/>
      <c r="D113" s="909"/>
      <c r="E113" s="909"/>
      <c r="F113" s="909"/>
      <c r="G113" s="909"/>
      <c r="H113" s="910"/>
      <c r="I113" s="625">
        <f>I95+J97+K97</f>
        <v>63086930.74</v>
      </c>
      <c r="J113" s="619">
        <f>I112+I113</f>
        <v>203460069.124</v>
      </c>
      <c r="K113" s="175"/>
      <c r="L113" s="176"/>
      <c r="M113" s="176"/>
    </row>
    <row r="114" spans="1:13" s="245" customFormat="1" ht="12" customHeight="1">
      <c r="A114" s="272"/>
      <c r="B114" s="272"/>
      <c r="C114" s="272"/>
      <c r="D114" s="272"/>
      <c r="E114" s="272"/>
      <c r="F114" s="272"/>
      <c r="G114" s="272"/>
      <c r="H114" s="272"/>
      <c r="I114" s="309"/>
      <c r="J114" s="175"/>
      <c r="K114" s="175"/>
      <c r="M114" s="176"/>
    </row>
    <row r="115" spans="1:11" s="245" customFormat="1" ht="21" customHeight="1">
      <c r="A115" s="919" t="s">
        <v>445</v>
      </c>
      <c r="B115" s="919"/>
      <c r="C115" s="919"/>
      <c r="D115" s="919"/>
      <c r="E115" s="919"/>
      <c r="F115" s="919"/>
      <c r="G115" s="185"/>
      <c r="H115" s="178"/>
      <c r="I115" s="178"/>
      <c r="J115" s="176"/>
      <c r="K115" s="176"/>
    </row>
    <row r="116" spans="1:11" ht="19.5" customHeight="1">
      <c r="A116" s="181"/>
      <c r="B116" s="176"/>
      <c r="C116" s="176"/>
      <c r="D116" s="176"/>
      <c r="E116" s="176"/>
      <c r="F116" s="176"/>
      <c r="G116" s="177"/>
      <c r="H116" s="176"/>
      <c r="I116" s="176"/>
      <c r="J116" s="176"/>
      <c r="K116" s="176"/>
    </row>
    <row r="117" spans="1:11" ht="27" customHeight="1">
      <c r="A117" s="181"/>
      <c r="B117" s="176"/>
      <c r="C117" s="176"/>
      <c r="D117" s="176"/>
      <c r="E117" s="176"/>
      <c r="F117" s="176"/>
      <c r="G117" s="177"/>
      <c r="H117" s="176"/>
      <c r="I117" s="176"/>
      <c r="J117" s="176"/>
      <c r="K117" s="176"/>
    </row>
    <row r="118" spans="1:11" ht="15" customHeight="1">
      <c r="A118" s="911" t="s">
        <v>476</v>
      </c>
      <c r="B118" s="911"/>
      <c r="C118" s="911"/>
      <c r="D118" s="911"/>
      <c r="E118" s="911"/>
      <c r="F118" s="911"/>
      <c r="G118" s="911"/>
      <c r="H118" s="911"/>
      <c r="I118" s="911"/>
      <c r="J118" s="176"/>
      <c r="K118" s="176"/>
    </row>
    <row r="119" spans="1:11" ht="19.5" customHeight="1">
      <c r="A119" s="181"/>
      <c r="B119" s="176"/>
      <c r="C119" s="176"/>
      <c r="D119" s="176"/>
      <c r="E119" s="176"/>
      <c r="F119" s="176"/>
      <c r="G119" s="177"/>
      <c r="H119" s="176"/>
      <c r="I119" s="176"/>
      <c r="J119" s="176"/>
      <c r="K119" s="176"/>
    </row>
    <row r="120" spans="1:11" ht="15">
      <c r="A120" s="181"/>
      <c r="B120" s="176"/>
      <c r="C120" s="176"/>
      <c r="D120" s="176"/>
      <c r="E120" s="176"/>
      <c r="F120" s="176"/>
      <c r="G120" s="177"/>
      <c r="H120" s="176"/>
      <c r="I120" s="176"/>
      <c r="J120" s="176"/>
      <c r="K120" s="176"/>
    </row>
    <row r="121" spans="1:11" s="1" customFormat="1" ht="45" customHeight="1">
      <c r="A121" s="182" t="s">
        <v>195</v>
      </c>
      <c r="B121" s="334" t="s">
        <v>327</v>
      </c>
      <c r="C121" s="177"/>
      <c r="D121" s="177"/>
      <c r="E121" s="177"/>
      <c r="F121" s="177"/>
      <c r="G121" s="177"/>
      <c r="H121" s="177"/>
      <c r="I121" s="177"/>
      <c r="J121" s="177"/>
      <c r="K121" s="177"/>
    </row>
    <row r="122" spans="1:11" ht="37.5" customHeight="1">
      <c r="A122" s="181"/>
      <c r="B122" s="176"/>
      <c r="C122" s="176"/>
      <c r="D122" s="176"/>
      <c r="E122" s="176"/>
      <c r="F122" s="176"/>
      <c r="G122" s="177"/>
      <c r="H122" s="176"/>
      <c r="I122" s="176"/>
      <c r="J122" s="176"/>
      <c r="K122" s="176"/>
    </row>
    <row r="123" spans="1:11" s="8" customFormat="1" ht="58.5" customHeight="1">
      <c r="A123" s="903" t="s">
        <v>446</v>
      </c>
      <c r="B123" s="903"/>
      <c r="C123" s="903"/>
      <c r="D123" s="177"/>
      <c r="E123" s="177"/>
      <c r="F123" s="902" t="s">
        <v>553</v>
      </c>
      <c r="G123" s="902"/>
      <c r="H123" s="902"/>
      <c r="I123" s="902"/>
      <c r="J123" s="177"/>
      <c r="K123" s="177"/>
    </row>
    <row r="124" ht="12.75">
      <c r="A124" s="16"/>
    </row>
    <row r="125" ht="12.75">
      <c r="A125" s="16"/>
    </row>
    <row r="189" ht="294.75" customHeight="1"/>
    <row r="198" ht="15">
      <c r="A198" s="370"/>
    </row>
    <row r="200" ht="15">
      <c r="A200" s="370"/>
    </row>
    <row r="207" ht="15">
      <c r="A207" s="370"/>
    </row>
    <row r="219" ht="15">
      <c r="A219" s="370"/>
    </row>
    <row r="275" ht="54.75" customHeight="1"/>
    <row r="330" ht="14.25">
      <c r="A330" s="181"/>
    </row>
    <row r="435" ht="15">
      <c r="A435" s="370"/>
    </row>
    <row r="653" ht="15.75">
      <c r="A653" s="372"/>
    </row>
    <row r="738" ht="18.75" customHeight="1"/>
  </sheetData>
  <sheetProtection/>
  <mergeCells count="68">
    <mergeCell ref="F50:F52"/>
    <mergeCell ref="B55:B56"/>
    <mergeCell ref="A46:K46"/>
    <mergeCell ref="A63:K63"/>
    <mergeCell ref="A29:A31"/>
    <mergeCell ref="B29:B31"/>
    <mergeCell ref="B32:B34"/>
    <mergeCell ref="A50:A52"/>
    <mergeCell ref="A32:A34"/>
    <mergeCell ref="A53:A54"/>
    <mergeCell ref="A37:A39"/>
    <mergeCell ref="F53:F54"/>
    <mergeCell ref="A77:A78"/>
    <mergeCell ref="I50:I52"/>
    <mergeCell ref="I67:I68"/>
    <mergeCell ref="F67:F68"/>
    <mergeCell ref="B53:B54"/>
    <mergeCell ref="B50:B52"/>
    <mergeCell ref="A65:K65"/>
    <mergeCell ref="A55:A56"/>
    <mergeCell ref="I53:I54"/>
    <mergeCell ref="A8:A10"/>
    <mergeCell ref="B8:B10"/>
    <mergeCell ref="I103:I104"/>
    <mergeCell ref="F5:F7"/>
    <mergeCell ref="I11:I13"/>
    <mergeCell ref="B5:B7"/>
    <mergeCell ref="A5:A7"/>
    <mergeCell ref="B11:B13"/>
    <mergeCell ref="A74:A76"/>
    <mergeCell ref="B67:B68"/>
    <mergeCell ref="A91:K91"/>
    <mergeCell ref="A100:H100"/>
    <mergeCell ref="A103:F103"/>
    <mergeCell ref="A1:K1"/>
    <mergeCell ref="A3:K3"/>
    <mergeCell ref="A22:K22"/>
    <mergeCell ref="I5:I7"/>
    <mergeCell ref="A11:A13"/>
    <mergeCell ref="A24:A26"/>
    <mergeCell ref="A20:K20"/>
    <mergeCell ref="A115:F115"/>
    <mergeCell ref="G109:H109"/>
    <mergeCell ref="A105:F105"/>
    <mergeCell ref="A102:H102"/>
    <mergeCell ref="G104:H104"/>
    <mergeCell ref="G105:H105"/>
    <mergeCell ref="A104:F104"/>
    <mergeCell ref="B37:B39"/>
    <mergeCell ref="A67:A70"/>
    <mergeCell ref="A48:K48"/>
    <mergeCell ref="F123:I123"/>
    <mergeCell ref="A123:C123"/>
    <mergeCell ref="A109:F109"/>
    <mergeCell ref="A107:H107"/>
    <mergeCell ref="A113:H113"/>
    <mergeCell ref="A108:F108"/>
    <mergeCell ref="A118:I118"/>
    <mergeCell ref="I105:J105"/>
    <mergeCell ref="G103:H103"/>
    <mergeCell ref="A112:H112"/>
    <mergeCell ref="G108:H108"/>
    <mergeCell ref="A111:F111"/>
    <mergeCell ref="A71:A73"/>
    <mergeCell ref="A79:A80"/>
    <mergeCell ref="B71:B73"/>
    <mergeCell ref="A81:A83"/>
    <mergeCell ref="B81:B83"/>
  </mergeCells>
  <printOptions horizontalCentered="1"/>
  <pageMargins left="0.3937007874015748" right="0.3937007874015748" top="0.3937007874015748" bottom="0.3937007874015748" header="0.5118110236220472" footer="0.31496062992125984"/>
  <pageSetup horizontalDpi="600" verticalDpi="600" orientation="landscape" paperSize="9" scale="75" r:id="rId1"/>
  <headerFooter alignWithMargins="0">
    <oddFooter>&amp;L&amp;6Azienda Unità Sanitaria Locale 4  - Teramo&amp;C&amp;6&amp;P/&amp;N&amp;R&amp;6Inventario B.I. Indisponibili aggiornato al 31.12.2016</oddFooter>
  </headerFooter>
  <rowBreaks count="6" manualBreakCount="6">
    <brk id="19" max="10" man="1"/>
    <brk id="45" max="10" man="1"/>
    <brk id="62" max="10" man="1"/>
    <brk id="90" max="255" man="1"/>
    <brk id="115" max="10" man="1"/>
    <brk id="3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pippo</dc:creator>
  <cp:keywords/>
  <dc:description/>
  <cp:lastModifiedBy>Evangelista Maria</cp:lastModifiedBy>
  <cp:lastPrinted>2017-03-17T10:43:42Z</cp:lastPrinted>
  <dcterms:created xsi:type="dcterms:W3CDTF">2003-12-10T07:57:59Z</dcterms:created>
  <dcterms:modified xsi:type="dcterms:W3CDTF">2017-03-17T10:45:43Z</dcterms:modified>
  <cp:category/>
  <cp:version/>
  <cp:contentType/>
  <cp:contentStatus/>
</cp:coreProperties>
</file>